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Password="85FD" lockStructure="1"/>
  <bookViews>
    <workbookView xWindow="0" yWindow="0" windowWidth="21600" windowHeight="9600" activeTab="2"/>
  </bookViews>
  <sheets>
    <sheet name="1 - ISTRUZIONI e AVVERTENZE" sheetId="5" r:id="rId1"/>
    <sheet name="2 - Calcolo debito residuo" sheetId="1" r:id="rId2"/>
    <sheet name="3 - Rateazione" sheetId="2" r:id="rId3"/>
    <sheet name="FESTE" sheetId="4" state="hidden" r:id="rId4"/>
  </sheets>
  <definedNames>
    <definedName name="_xlnm.Print_Area" localSheetId="1">'2 - Calcolo debito residuo'!$B$1:$G$66</definedName>
    <definedName name="_xlnm.Print_Area" localSheetId="2">'3 - Rateazione'!$B$1:$H$64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1" l="1"/>
  <c r="G19" i="1"/>
  <c r="G15" i="1"/>
  <c r="G14" i="1"/>
  <c r="G13" i="1"/>
  <c r="G12" i="1"/>
  <c r="G11" i="1"/>
  <c r="E21" i="1"/>
  <c r="E20" i="1"/>
  <c r="E19" i="1"/>
  <c r="E18" i="1"/>
  <c r="E17" i="1"/>
  <c r="E16" i="1"/>
  <c r="E15" i="1"/>
  <c r="E14" i="1"/>
  <c r="E13" i="1"/>
  <c r="E12" i="1"/>
  <c r="E11" i="1"/>
  <c r="E10" i="1"/>
  <c r="G20" i="1" l="1"/>
  <c r="G25" i="1"/>
  <c r="D22" i="1"/>
  <c r="F18" i="1"/>
  <c r="G18" i="1" s="1"/>
  <c r="F12" i="1" l="1"/>
  <c r="F15" i="1"/>
  <c r="F16" i="1"/>
  <c r="G16" i="1" s="1"/>
  <c r="F11" i="1"/>
  <c r="F19" i="1"/>
  <c r="F13" i="1"/>
  <c r="F17" i="1"/>
  <c r="G17" i="1" s="1"/>
  <c r="F21" i="1"/>
  <c r="F14" i="1"/>
  <c r="K11" i="2"/>
  <c r="K17" i="2" s="1"/>
  <c r="N17" i="2"/>
  <c r="N14" i="2"/>
  <c r="N11" i="2"/>
  <c r="N10" i="2"/>
  <c r="N8" i="2"/>
  <c r="J21" i="1"/>
  <c r="J20" i="1"/>
  <c r="J19" i="1"/>
  <c r="J18" i="1"/>
  <c r="J17" i="1"/>
  <c r="J16" i="1"/>
  <c r="J15" i="1"/>
  <c r="J14" i="1"/>
  <c r="J13" i="1"/>
  <c r="J12" i="1"/>
  <c r="J11" i="1"/>
  <c r="J10" i="1"/>
  <c r="F10" i="1" l="1"/>
  <c r="F24" i="1" s="1"/>
  <c r="F20" i="1"/>
  <c r="K20" i="2"/>
  <c r="N20" i="2" s="1"/>
  <c r="N16" i="2"/>
  <c r="G10" i="1" l="1"/>
  <c r="E20" i="2"/>
  <c r="E27" i="2" s="1"/>
  <c r="F27" i="2" s="1"/>
  <c r="K22" i="2"/>
  <c r="E21" i="2"/>
  <c r="F21" i="2" s="1"/>
  <c r="K23" i="2"/>
  <c r="H6" i="2"/>
  <c r="G6" i="2"/>
  <c r="F6" i="2"/>
  <c r="E6" i="2"/>
  <c r="E23" i="2" l="1"/>
  <c r="F23" i="2" s="1"/>
  <c r="E26" i="2"/>
  <c r="F26" i="2" s="1"/>
  <c r="E25" i="2"/>
  <c r="F25" i="2" s="1"/>
  <c r="E22" i="2"/>
  <c r="F22" i="2" s="1"/>
  <c r="F20" i="2"/>
  <c r="K21" i="2"/>
  <c r="K38" i="2"/>
  <c r="K39" i="2"/>
  <c r="E24" i="2"/>
  <c r="F24" i="2" s="1"/>
  <c r="J507" i="4"/>
  <c r="K507" i="4" s="1"/>
  <c r="J508" i="4"/>
  <c r="K508" i="4" s="1"/>
  <c r="J509" i="4"/>
  <c r="K509" i="4"/>
  <c r="L509" i="4"/>
  <c r="J510" i="4"/>
  <c r="K510" i="4"/>
  <c r="L510" i="4"/>
  <c r="J511" i="4"/>
  <c r="K511" i="4" s="1"/>
  <c r="J512" i="4"/>
  <c r="K512" i="4" s="1"/>
  <c r="J513" i="4"/>
  <c r="K513" i="4"/>
  <c r="L513" i="4"/>
  <c r="J514" i="4"/>
  <c r="K514" i="4"/>
  <c r="L514" i="4"/>
  <c r="J515" i="4"/>
  <c r="K515" i="4" s="1"/>
  <c r="J516" i="4"/>
  <c r="K516" i="4" s="1"/>
  <c r="J517" i="4"/>
  <c r="L517" i="4" s="1"/>
  <c r="K517" i="4"/>
  <c r="J518" i="4"/>
  <c r="K518" i="4" s="1"/>
  <c r="L518" i="4"/>
  <c r="J519" i="4"/>
  <c r="K519" i="4" s="1"/>
  <c r="J520" i="4"/>
  <c r="K520" i="4" s="1"/>
  <c r="J521" i="4"/>
  <c r="L521" i="4" s="1"/>
  <c r="K521" i="4"/>
  <c r="J522" i="4"/>
  <c r="K522" i="4" s="1"/>
  <c r="L522" i="4"/>
  <c r="J523" i="4"/>
  <c r="K523" i="4" s="1"/>
  <c r="J506" i="4"/>
  <c r="L506" i="4" s="1"/>
  <c r="K506" i="4"/>
  <c r="J489" i="4"/>
  <c r="K489" i="4" s="1"/>
  <c r="L489" i="4"/>
  <c r="J490" i="4"/>
  <c r="K490" i="4" s="1"/>
  <c r="J491" i="4"/>
  <c r="L491" i="4" s="1"/>
  <c r="K491" i="4"/>
  <c r="J492" i="4"/>
  <c r="K492" i="4"/>
  <c r="L492" i="4"/>
  <c r="J493" i="4"/>
  <c r="K493" i="4" s="1"/>
  <c r="L493" i="4"/>
  <c r="J494" i="4"/>
  <c r="K494" i="4" s="1"/>
  <c r="J495" i="4"/>
  <c r="L495" i="4" s="1"/>
  <c r="K495" i="4"/>
  <c r="J496" i="4"/>
  <c r="K496" i="4"/>
  <c r="L496" i="4"/>
  <c r="J497" i="4"/>
  <c r="K497" i="4" s="1"/>
  <c r="L497" i="4"/>
  <c r="J498" i="4"/>
  <c r="K498" i="4" s="1"/>
  <c r="J499" i="4"/>
  <c r="L499" i="4" s="1"/>
  <c r="K499" i="4"/>
  <c r="J500" i="4"/>
  <c r="K500" i="4"/>
  <c r="L500" i="4"/>
  <c r="J501" i="4"/>
  <c r="K501" i="4" s="1"/>
  <c r="L501" i="4"/>
  <c r="J502" i="4"/>
  <c r="K502" i="4" s="1"/>
  <c r="J503" i="4"/>
  <c r="L503" i="4" s="1"/>
  <c r="K503" i="4"/>
  <c r="J504" i="4"/>
  <c r="K504" i="4"/>
  <c r="L504" i="4"/>
  <c r="J505" i="4"/>
  <c r="K505" i="4" s="1"/>
  <c r="L505" i="4"/>
  <c r="J488" i="4"/>
  <c r="L488" i="4" s="1"/>
  <c r="K488" i="4"/>
  <c r="J471" i="4"/>
  <c r="K471" i="4" s="1"/>
  <c r="J472" i="4"/>
  <c r="K472" i="4" s="1"/>
  <c r="J473" i="4"/>
  <c r="K473" i="4"/>
  <c r="L473" i="4"/>
  <c r="J474" i="4"/>
  <c r="K474" i="4"/>
  <c r="L474" i="4"/>
  <c r="J475" i="4"/>
  <c r="K475" i="4" s="1"/>
  <c r="J476" i="4"/>
  <c r="K476" i="4" s="1"/>
  <c r="J477" i="4"/>
  <c r="L477" i="4" s="1"/>
  <c r="K477" i="4"/>
  <c r="J478" i="4"/>
  <c r="K478" i="4"/>
  <c r="L478" i="4"/>
  <c r="J479" i="4"/>
  <c r="K479" i="4" s="1"/>
  <c r="J480" i="4"/>
  <c r="K480" i="4" s="1"/>
  <c r="J481" i="4"/>
  <c r="L481" i="4" s="1"/>
  <c r="K481" i="4"/>
  <c r="J482" i="4"/>
  <c r="K482" i="4"/>
  <c r="L482" i="4"/>
  <c r="J483" i="4"/>
  <c r="K483" i="4" s="1"/>
  <c r="J484" i="4"/>
  <c r="K484" i="4" s="1"/>
  <c r="J485" i="4"/>
  <c r="L485" i="4" s="1"/>
  <c r="K485" i="4"/>
  <c r="J486" i="4"/>
  <c r="K486" i="4"/>
  <c r="L486" i="4"/>
  <c r="J487" i="4"/>
  <c r="K487" i="4" s="1"/>
  <c r="J470" i="4"/>
  <c r="K470" i="4" s="1"/>
  <c r="L470" i="4"/>
  <c r="J453" i="4"/>
  <c r="K453" i="4" s="1"/>
  <c r="J454" i="4"/>
  <c r="K454" i="4" s="1"/>
  <c r="J455" i="4"/>
  <c r="K455" i="4"/>
  <c r="L455" i="4"/>
  <c r="J456" i="4"/>
  <c r="K456" i="4" s="1"/>
  <c r="L456" i="4"/>
  <c r="J457" i="4"/>
  <c r="K457" i="4" s="1"/>
  <c r="J458" i="4"/>
  <c r="K458" i="4" s="1"/>
  <c r="J459" i="4"/>
  <c r="K459" i="4"/>
  <c r="L459" i="4"/>
  <c r="J460" i="4"/>
  <c r="K460" i="4" s="1"/>
  <c r="L460" i="4"/>
  <c r="J461" i="4"/>
  <c r="K461" i="4" s="1"/>
  <c r="J462" i="4"/>
  <c r="K462" i="4" s="1"/>
  <c r="J463" i="4"/>
  <c r="K463" i="4"/>
  <c r="L463" i="4"/>
  <c r="J464" i="4"/>
  <c r="K464" i="4" s="1"/>
  <c r="L464" i="4"/>
  <c r="J465" i="4"/>
  <c r="K465" i="4" s="1"/>
  <c r="J466" i="4"/>
  <c r="K466" i="4" s="1"/>
  <c r="J467" i="4"/>
  <c r="K467" i="4"/>
  <c r="L467" i="4"/>
  <c r="J468" i="4"/>
  <c r="K468" i="4" s="1"/>
  <c r="L468" i="4"/>
  <c r="J469" i="4"/>
  <c r="K469" i="4" s="1"/>
  <c r="J452" i="4"/>
  <c r="L452" i="4"/>
  <c r="K452" i="4"/>
  <c r="J435" i="4"/>
  <c r="K435" i="4"/>
  <c r="L435" i="4"/>
  <c r="J436" i="4"/>
  <c r="K436" i="4" s="1"/>
  <c r="J437" i="4"/>
  <c r="L437" i="4" s="1"/>
  <c r="K437" i="4"/>
  <c r="J438" i="4"/>
  <c r="K438" i="4"/>
  <c r="L438" i="4"/>
  <c r="J439" i="4"/>
  <c r="K439" i="4"/>
  <c r="L439" i="4"/>
  <c r="J440" i="4"/>
  <c r="K440" i="4" s="1"/>
  <c r="J441" i="4"/>
  <c r="L441" i="4" s="1"/>
  <c r="K441" i="4"/>
  <c r="J442" i="4"/>
  <c r="K442" i="4"/>
  <c r="L442" i="4"/>
  <c r="J443" i="4"/>
  <c r="K443" i="4"/>
  <c r="L443" i="4"/>
  <c r="J444" i="4"/>
  <c r="K444" i="4" s="1"/>
  <c r="J445" i="4"/>
  <c r="L445" i="4" s="1"/>
  <c r="K445" i="4"/>
  <c r="J446" i="4"/>
  <c r="K446" i="4"/>
  <c r="L446" i="4"/>
  <c r="J447" i="4"/>
  <c r="K447" i="4"/>
  <c r="L447" i="4"/>
  <c r="J448" i="4"/>
  <c r="K448" i="4" s="1"/>
  <c r="J449" i="4"/>
  <c r="L449" i="4" s="1"/>
  <c r="K449" i="4"/>
  <c r="J450" i="4"/>
  <c r="K450" i="4"/>
  <c r="L450" i="4"/>
  <c r="J451" i="4"/>
  <c r="K451" i="4"/>
  <c r="L451" i="4"/>
  <c r="J434" i="4"/>
  <c r="L434" i="4" s="1"/>
  <c r="J417" i="4"/>
  <c r="K417" i="4" s="1"/>
  <c r="J418" i="4"/>
  <c r="K418" i="4" s="1"/>
  <c r="J419" i="4"/>
  <c r="K419" i="4"/>
  <c r="L419" i="4"/>
  <c r="J420" i="4"/>
  <c r="K420" i="4"/>
  <c r="L420" i="4"/>
  <c r="J421" i="4"/>
  <c r="K421" i="4" s="1"/>
  <c r="J422" i="4"/>
  <c r="K422" i="4" s="1"/>
  <c r="J423" i="4"/>
  <c r="K423" i="4"/>
  <c r="L423" i="4"/>
  <c r="J424" i="4"/>
  <c r="K424" i="4"/>
  <c r="L424" i="4"/>
  <c r="J425" i="4"/>
  <c r="K425" i="4" s="1"/>
  <c r="J426" i="4"/>
  <c r="K426" i="4" s="1"/>
  <c r="J427" i="4"/>
  <c r="K427" i="4"/>
  <c r="L427" i="4"/>
  <c r="J428" i="4"/>
  <c r="K428" i="4" s="1"/>
  <c r="L428" i="4"/>
  <c r="J429" i="4"/>
  <c r="K429" i="4" s="1"/>
  <c r="J430" i="4"/>
  <c r="K430" i="4" s="1"/>
  <c r="J431" i="4"/>
  <c r="K431" i="4"/>
  <c r="L431" i="4"/>
  <c r="J432" i="4"/>
  <c r="K432" i="4" s="1"/>
  <c r="L432" i="4"/>
  <c r="J433" i="4"/>
  <c r="K433" i="4" s="1"/>
  <c r="J416" i="4"/>
  <c r="K416" i="4" s="1"/>
  <c r="L416" i="4"/>
  <c r="J399" i="4"/>
  <c r="K399" i="4" s="1"/>
  <c r="J400" i="4"/>
  <c r="K400" i="4" s="1"/>
  <c r="J401" i="4"/>
  <c r="K401" i="4"/>
  <c r="L401" i="4"/>
  <c r="J402" i="4"/>
  <c r="K402" i="4"/>
  <c r="L402" i="4"/>
  <c r="J403" i="4"/>
  <c r="K403" i="4" s="1"/>
  <c r="J404" i="4"/>
  <c r="K404" i="4" s="1"/>
  <c r="J405" i="4"/>
  <c r="K405" i="4"/>
  <c r="L405" i="4"/>
  <c r="J406" i="4"/>
  <c r="K406" i="4" s="1"/>
  <c r="L406" i="4"/>
  <c r="J407" i="4"/>
  <c r="K407" i="4" s="1"/>
  <c r="J408" i="4"/>
  <c r="K408" i="4" s="1"/>
  <c r="J409" i="4"/>
  <c r="K409" i="4"/>
  <c r="L409" i="4"/>
  <c r="J410" i="4"/>
  <c r="K410" i="4" s="1"/>
  <c r="L410" i="4"/>
  <c r="J411" i="4"/>
  <c r="K411" i="4" s="1"/>
  <c r="J412" i="4"/>
  <c r="K412" i="4" s="1"/>
  <c r="J413" i="4"/>
  <c r="K413" i="4"/>
  <c r="L413" i="4"/>
  <c r="J414" i="4"/>
  <c r="K414" i="4" s="1"/>
  <c r="L414" i="4"/>
  <c r="J415" i="4"/>
  <c r="K415" i="4" s="1"/>
  <c r="J398" i="4"/>
  <c r="L398" i="4" s="1"/>
  <c r="J381" i="4"/>
  <c r="K381" i="4" s="1"/>
  <c r="J382" i="4"/>
  <c r="K382" i="4" s="1"/>
  <c r="J383" i="4"/>
  <c r="K383" i="4"/>
  <c r="L383" i="4"/>
  <c r="J384" i="4"/>
  <c r="K384" i="4"/>
  <c r="L384" i="4"/>
  <c r="J385" i="4"/>
  <c r="K385" i="4" s="1"/>
  <c r="J386" i="4"/>
  <c r="K386" i="4" s="1"/>
  <c r="J387" i="4"/>
  <c r="K387" i="4"/>
  <c r="L387" i="4"/>
  <c r="J388" i="4"/>
  <c r="K388" i="4"/>
  <c r="L388" i="4"/>
  <c r="J389" i="4"/>
  <c r="K389" i="4" s="1"/>
  <c r="J390" i="4"/>
  <c r="K390" i="4" s="1"/>
  <c r="J391" i="4"/>
  <c r="K391" i="4"/>
  <c r="L391" i="4"/>
  <c r="J392" i="4"/>
  <c r="K392" i="4" s="1"/>
  <c r="L392" i="4"/>
  <c r="J393" i="4"/>
  <c r="K393" i="4" s="1"/>
  <c r="J394" i="4"/>
  <c r="K394" i="4" s="1"/>
  <c r="J395" i="4"/>
  <c r="K395" i="4"/>
  <c r="L395" i="4"/>
  <c r="J396" i="4"/>
  <c r="K396" i="4" s="1"/>
  <c r="L396" i="4"/>
  <c r="J397" i="4"/>
  <c r="K397" i="4" s="1"/>
  <c r="J380" i="4"/>
  <c r="L380" i="4" s="1"/>
  <c r="K380" i="4"/>
  <c r="J363" i="4"/>
  <c r="K363" i="4" s="1"/>
  <c r="J364" i="4"/>
  <c r="K364" i="4" s="1"/>
  <c r="J365" i="4"/>
  <c r="K365" i="4"/>
  <c r="L365" i="4"/>
  <c r="J366" i="4"/>
  <c r="K366" i="4"/>
  <c r="L366" i="4"/>
  <c r="J367" i="4"/>
  <c r="K367" i="4" s="1"/>
  <c r="J368" i="4"/>
  <c r="K368" i="4" s="1"/>
  <c r="J369" i="4"/>
  <c r="L369" i="4" s="1"/>
  <c r="K369" i="4"/>
  <c r="J370" i="4"/>
  <c r="K370" i="4"/>
  <c r="L370" i="4"/>
  <c r="J371" i="4"/>
  <c r="K371" i="4" s="1"/>
  <c r="J372" i="4"/>
  <c r="K372" i="4" s="1"/>
  <c r="J373" i="4"/>
  <c r="L373" i="4" s="1"/>
  <c r="K373" i="4"/>
  <c r="J374" i="4"/>
  <c r="K374" i="4"/>
  <c r="L374" i="4"/>
  <c r="J375" i="4"/>
  <c r="K375" i="4" s="1"/>
  <c r="L375" i="4"/>
  <c r="J376" i="4"/>
  <c r="K376" i="4" s="1"/>
  <c r="J377" i="4"/>
  <c r="L377" i="4" s="1"/>
  <c r="K377" i="4"/>
  <c r="J378" i="4"/>
  <c r="K378" i="4"/>
  <c r="L378" i="4"/>
  <c r="J379" i="4"/>
  <c r="K379" i="4" s="1"/>
  <c r="L379" i="4"/>
  <c r="J362" i="4"/>
  <c r="L362" i="4"/>
  <c r="K362" i="4"/>
  <c r="J345" i="4"/>
  <c r="K345" i="4" s="1"/>
  <c r="J346" i="4"/>
  <c r="K346" i="4" s="1"/>
  <c r="J347" i="4"/>
  <c r="K347" i="4"/>
  <c r="L347" i="4"/>
  <c r="J348" i="4"/>
  <c r="K348" i="4"/>
  <c r="L348" i="4"/>
  <c r="J349" i="4"/>
  <c r="K349" i="4" s="1"/>
  <c r="J350" i="4"/>
  <c r="K350" i="4" s="1"/>
  <c r="J351" i="4"/>
  <c r="K351" i="4"/>
  <c r="L351" i="4"/>
  <c r="J352" i="4"/>
  <c r="K352" i="4" s="1"/>
  <c r="L352" i="4"/>
  <c r="J353" i="4"/>
  <c r="K353" i="4" s="1"/>
  <c r="J354" i="4"/>
  <c r="K354" i="4" s="1"/>
  <c r="J355" i="4"/>
  <c r="K355" i="4"/>
  <c r="L355" i="4"/>
  <c r="J356" i="4"/>
  <c r="K356" i="4" s="1"/>
  <c r="L356" i="4"/>
  <c r="J357" i="4"/>
  <c r="L357" i="4" s="1"/>
  <c r="K357" i="4"/>
  <c r="J358" i="4"/>
  <c r="K358" i="4" s="1"/>
  <c r="J359" i="4"/>
  <c r="K359" i="4"/>
  <c r="L359" i="4"/>
  <c r="J360" i="4"/>
  <c r="K360" i="4" s="1"/>
  <c r="L360" i="4"/>
  <c r="J361" i="4"/>
  <c r="L361" i="4" s="1"/>
  <c r="K361" i="4"/>
  <c r="J344" i="4"/>
  <c r="L344" i="4" s="1"/>
  <c r="J327" i="4"/>
  <c r="K327" i="4" s="1"/>
  <c r="J328" i="4"/>
  <c r="K328" i="4" s="1"/>
  <c r="J329" i="4"/>
  <c r="K329" i="4"/>
  <c r="L329" i="4"/>
  <c r="J330" i="4"/>
  <c r="K330" i="4"/>
  <c r="L330" i="4"/>
  <c r="J331" i="4"/>
  <c r="K331" i="4" s="1"/>
  <c r="J332" i="4"/>
  <c r="K332" i="4" s="1"/>
  <c r="J333" i="4"/>
  <c r="K333" i="4"/>
  <c r="L333" i="4"/>
  <c r="J334" i="4"/>
  <c r="K334" i="4" s="1"/>
  <c r="L334" i="4"/>
  <c r="J335" i="4"/>
  <c r="K335" i="4" s="1"/>
  <c r="J336" i="4"/>
  <c r="K336" i="4" s="1"/>
  <c r="J337" i="4"/>
  <c r="L337" i="4" s="1"/>
  <c r="K337" i="4"/>
  <c r="J338" i="4"/>
  <c r="K338" i="4" s="1"/>
  <c r="L338" i="4"/>
  <c r="J339" i="4"/>
  <c r="K339" i="4" s="1"/>
  <c r="J340" i="4"/>
  <c r="K340" i="4" s="1"/>
  <c r="J341" i="4"/>
  <c r="K341" i="4"/>
  <c r="L341" i="4"/>
  <c r="J342" i="4"/>
  <c r="K342" i="4" s="1"/>
  <c r="L342" i="4"/>
  <c r="J343" i="4"/>
  <c r="K343" i="4" s="1"/>
  <c r="J326" i="4"/>
  <c r="L326" i="4" s="1"/>
  <c r="J309" i="4"/>
  <c r="K309" i="4" s="1"/>
  <c r="J310" i="4"/>
  <c r="L310" i="4" s="1"/>
  <c r="K310" i="4"/>
  <c r="J311" i="4"/>
  <c r="K311" i="4"/>
  <c r="L311" i="4"/>
  <c r="J312" i="4"/>
  <c r="K312" i="4" s="1"/>
  <c r="J313" i="4"/>
  <c r="K313" i="4" s="1"/>
  <c r="J314" i="4"/>
  <c r="L314" i="4" s="1"/>
  <c r="K314" i="4"/>
  <c r="J315" i="4"/>
  <c r="K315" i="4"/>
  <c r="L315" i="4"/>
  <c r="J316" i="4"/>
  <c r="K316" i="4" s="1"/>
  <c r="J317" i="4"/>
  <c r="K317" i="4" s="1"/>
  <c r="J318" i="4"/>
  <c r="L318" i="4" s="1"/>
  <c r="K318" i="4"/>
  <c r="J319" i="4"/>
  <c r="K319" i="4"/>
  <c r="L319" i="4"/>
  <c r="J320" i="4"/>
  <c r="K320" i="4" s="1"/>
  <c r="J321" i="4"/>
  <c r="K321" i="4" s="1"/>
  <c r="J322" i="4"/>
  <c r="L322" i="4" s="1"/>
  <c r="K322" i="4"/>
  <c r="J323" i="4"/>
  <c r="K323" i="4"/>
  <c r="L323" i="4"/>
  <c r="J324" i="4"/>
  <c r="K324" i="4" s="1"/>
  <c r="J325" i="4"/>
  <c r="K325" i="4" s="1"/>
  <c r="J308" i="4"/>
  <c r="K308" i="4" s="1"/>
  <c r="J291" i="4"/>
  <c r="K291" i="4" s="1"/>
  <c r="J292" i="4"/>
  <c r="K292" i="4" s="1"/>
  <c r="J293" i="4"/>
  <c r="K293" i="4"/>
  <c r="L293" i="4"/>
  <c r="J294" i="4"/>
  <c r="K294" i="4"/>
  <c r="L294" i="4"/>
  <c r="J295" i="4"/>
  <c r="K295" i="4" s="1"/>
  <c r="J296" i="4"/>
  <c r="K296" i="4" s="1"/>
  <c r="J297" i="4"/>
  <c r="K297" i="4"/>
  <c r="L297" i="4"/>
  <c r="J298" i="4"/>
  <c r="K298" i="4" s="1"/>
  <c r="L298" i="4"/>
  <c r="J299" i="4"/>
  <c r="K299" i="4" s="1"/>
  <c r="J300" i="4"/>
  <c r="K300" i="4" s="1"/>
  <c r="J301" i="4"/>
  <c r="K301" i="4"/>
  <c r="L301" i="4"/>
  <c r="J302" i="4"/>
  <c r="K302" i="4" s="1"/>
  <c r="L302" i="4"/>
  <c r="J303" i="4"/>
  <c r="K303" i="4" s="1"/>
  <c r="J304" i="4"/>
  <c r="K304" i="4" s="1"/>
  <c r="J305" i="4"/>
  <c r="K305" i="4"/>
  <c r="L305" i="4"/>
  <c r="J306" i="4"/>
  <c r="K306" i="4" s="1"/>
  <c r="L306" i="4"/>
  <c r="J307" i="4"/>
  <c r="K307" i="4" s="1"/>
  <c r="J290" i="4"/>
  <c r="L290" i="4" s="1"/>
  <c r="J273" i="4"/>
  <c r="K273" i="4" s="1"/>
  <c r="L273" i="4"/>
  <c r="J274" i="4"/>
  <c r="K274" i="4" s="1"/>
  <c r="J275" i="4"/>
  <c r="L275" i="4" s="1"/>
  <c r="K275" i="4"/>
  <c r="J276" i="4"/>
  <c r="K276" i="4"/>
  <c r="L276" i="4"/>
  <c r="J277" i="4"/>
  <c r="K277" i="4" s="1"/>
  <c r="L277" i="4"/>
  <c r="J278" i="4"/>
  <c r="K278" i="4" s="1"/>
  <c r="J279" i="4"/>
  <c r="L279" i="4" s="1"/>
  <c r="K279" i="4"/>
  <c r="J280" i="4"/>
  <c r="K280" i="4"/>
  <c r="L280" i="4"/>
  <c r="J281" i="4"/>
  <c r="K281" i="4" s="1"/>
  <c r="L281" i="4"/>
  <c r="J282" i="4"/>
  <c r="K282" i="4" s="1"/>
  <c r="J283" i="4"/>
  <c r="L283" i="4" s="1"/>
  <c r="K283" i="4"/>
  <c r="J284" i="4"/>
  <c r="K284" i="4"/>
  <c r="L284" i="4"/>
  <c r="J285" i="4"/>
  <c r="K285" i="4" s="1"/>
  <c r="L285" i="4"/>
  <c r="J286" i="4"/>
  <c r="K286" i="4" s="1"/>
  <c r="J287" i="4"/>
  <c r="L287" i="4" s="1"/>
  <c r="K287" i="4"/>
  <c r="J288" i="4"/>
  <c r="K288" i="4"/>
  <c r="L288" i="4"/>
  <c r="J289" i="4"/>
  <c r="K289" i="4" s="1"/>
  <c r="L289" i="4"/>
  <c r="J272" i="4"/>
  <c r="K272" i="4" s="1"/>
  <c r="J255" i="4"/>
  <c r="K255" i="4" s="1"/>
  <c r="J256" i="4"/>
  <c r="L256" i="4" s="1"/>
  <c r="K256" i="4"/>
  <c r="J257" i="4"/>
  <c r="K257" i="4"/>
  <c r="L257" i="4"/>
  <c r="J258" i="4"/>
  <c r="K258" i="4" s="1"/>
  <c r="J259" i="4"/>
  <c r="K259" i="4" s="1"/>
  <c r="J260" i="4"/>
  <c r="K260" i="4"/>
  <c r="L260" i="4"/>
  <c r="J261" i="4"/>
  <c r="K261" i="4"/>
  <c r="L261" i="4"/>
  <c r="J262" i="4"/>
  <c r="K262" i="4" s="1"/>
  <c r="J263" i="4"/>
  <c r="K263" i="4" s="1"/>
  <c r="J264" i="4"/>
  <c r="K264" i="4"/>
  <c r="L264" i="4"/>
  <c r="J265" i="4"/>
  <c r="K265" i="4"/>
  <c r="L265" i="4"/>
  <c r="J266" i="4"/>
  <c r="K266" i="4" s="1"/>
  <c r="J267" i="4"/>
  <c r="K267" i="4" s="1"/>
  <c r="J268" i="4"/>
  <c r="K268" i="4"/>
  <c r="L268" i="4"/>
  <c r="J269" i="4"/>
  <c r="K269" i="4"/>
  <c r="L269" i="4"/>
  <c r="J270" i="4"/>
  <c r="K270" i="4" s="1"/>
  <c r="J271" i="4"/>
  <c r="K271" i="4" s="1"/>
  <c r="J254" i="4"/>
  <c r="K254" i="4" s="1"/>
  <c r="J237" i="4"/>
  <c r="K237" i="4" s="1"/>
  <c r="J238" i="4"/>
  <c r="K238" i="4" s="1"/>
  <c r="J239" i="4"/>
  <c r="K239" i="4"/>
  <c r="L239" i="4"/>
  <c r="J240" i="4"/>
  <c r="K240" i="4"/>
  <c r="L240" i="4"/>
  <c r="J241" i="4"/>
  <c r="K241" i="4" s="1"/>
  <c r="J242" i="4"/>
  <c r="K242" i="4" s="1"/>
  <c r="J243" i="4"/>
  <c r="K243" i="4"/>
  <c r="L243" i="4"/>
  <c r="J244" i="4"/>
  <c r="K244" i="4"/>
  <c r="L244" i="4"/>
  <c r="J245" i="4"/>
  <c r="K245" i="4" s="1"/>
  <c r="J246" i="4"/>
  <c r="K246" i="4" s="1"/>
  <c r="J247" i="4"/>
  <c r="K247" i="4"/>
  <c r="L247" i="4"/>
  <c r="J248" i="4"/>
  <c r="K248" i="4"/>
  <c r="L248" i="4"/>
  <c r="J249" i="4"/>
  <c r="K249" i="4" s="1"/>
  <c r="J250" i="4"/>
  <c r="K250" i="4" s="1"/>
  <c r="J251" i="4"/>
  <c r="K251" i="4"/>
  <c r="L251" i="4"/>
  <c r="J252" i="4"/>
  <c r="K252" i="4"/>
  <c r="L252" i="4"/>
  <c r="J253" i="4"/>
  <c r="K253" i="4" s="1"/>
  <c r="J236" i="4"/>
  <c r="L236" i="4" s="1"/>
  <c r="J219" i="4"/>
  <c r="K219" i="4"/>
  <c r="L219" i="4"/>
  <c r="J220" i="4"/>
  <c r="K220" i="4" s="1"/>
  <c r="J221" i="4"/>
  <c r="L221" i="4" s="1"/>
  <c r="K221" i="4"/>
  <c r="J222" i="4"/>
  <c r="K222" i="4"/>
  <c r="L222" i="4"/>
  <c r="J223" i="4"/>
  <c r="K223" i="4"/>
  <c r="L223" i="4"/>
  <c r="J224" i="4"/>
  <c r="K224" i="4" s="1"/>
  <c r="J225" i="4"/>
  <c r="L225" i="4" s="1"/>
  <c r="K225" i="4"/>
  <c r="J226" i="4"/>
  <c r="K226" i="4"/>
  <c r="L226" i="4"/>
  <c r="J227" i="4"/>
  <c r="K227" i="4"/>
  <c r="L227" i="4"/>
  <c r="J228" i="4"/>
  <c r="K228" i="4" s="1"/>
  <c r="J229" i="4"/>
  <c r="L229" i="4" s="1"/>
  <c r="K229" i="4"/>
  <c r="J230" i="4"/>
  <c r="K230" i="4"/>
  <c r="L230" i="4"/>
  <c r="J231" i="4"/>
  <c r="K231" i="4"/>
  <c r="L231" i="4"/>
  <c r="J232" i="4"/>
  <c r="K232" i="4" s="1"/>
  <c r="J233" i="4"/>
  <c r="L233" i="4" s="1"/>
  <c r="K233" i="4"/>
  <c r="J234" i="4"/>
  <c r="K234" i="4"/>
  <c r="L234" i="4"/>
  <c r="J235" i="4"/>
  <c r="K235" i="4"/>
  <c r="L235" i="4"/>
  <c r="J218" i="4"/>
  <c r="L218" i="4" s="1"/>
  <c r="J201" i="4"/>
  <c r="J202" i="4"/>
  <c r="J203" i="4"/>
  <c r="L203" i="4" s="1"/>
  <c r="J204" i="4"/>
  <c r="L204" i="4" s="1"/>
  <c r="J205" i="4"/>
  <c r="J206" i="4"/>
  <c r="J207" i="4"/>
  <c r="L207" i="4" s="1"/>
  <c r="J208" i="4"/>
  <c r="L208" i="4" s="1"/>
  <c r="J209" i="4"/>
  <c r="J210" i="4"/>
  <c r="J211" i="4"/>
  <c r="L211" i="4" s="1"/>
  <c r="J212" i="4"/>
  <c r="L212" i="4" s="1"/>
  <c r="J213" i="4"/>
  <c r="J214" i="4"/>
  <c r="J215" i="4"/>
  <c r="L215" i="4" s="1"/>
  <c r="J216" i="4"/>
  <c r="L216" i="4" s="1"/>
  <c r="J217" i="4"/>
  <c r="K200" i="4"/>
  <c r="L200" i="4"/>
  <c r="K201" i="4"/>
  <c r="L201" i="4"/>
  <c r="K202" i="4"/>
  <c r="L202" i="4"/>
  <c r="K203" i="4"/>
  <c r="K205" i="4"/>
  <c r="L205" i="4"/>
  <c r="K206" i="4"/>
  <c r="L206" i="4"/>
  <c r="K207" i="4"/>
  <c r="K209" i="4"/>
  <c r="L209" i="4"/>
  <c r="K210" i="4"/>
  <c r="L210" i="4"/>
  <c r="K211" i="4"/>
  <c r="K213" i="4"/>
  <c r="L213" i="4"/>
  <c r="K214" i="4"/>
  <c r="L214" i="4"/>
  <c r="K215" i="4"/>
  <c r="K217" i="4"/>
  <c r="L217" i="4"/>
  <c r="L199" i="4"/>
  <c r="K199" i="4"/>
  <c r="L11" i="2" l="1"/>
  <c r="L523" i="4"/>
  <c r="L519" i="4"/>
  <c r="L515" i="4"/>
  <c r="L511" i="4"/>
  <c r="L507" i="4"/>
  <c r="L520" i="4"/>
  <c r="L516" i="4"/>
  <c r="L512" i="4"/>
  <c r="L508" i="4"/>
  <c r="L502" i="4"/>
  <c r="L498" i="4"/>
  <c r="L494" i="4"/>
  <c r="L490" i="4"/>
  <c r="L487" i="4"/>
  <c r="L483" i="4"/>
  <c r="L479" i="4"/>
  <c r="L475" i="4"/>
  <c r="L471" i="4"/>
  <c r="L484" i="4"/>
  <c r="L480" i="4"/>
  <c r="L476" i="4"/>
  <c r="L472" i="4"/>
  <c r="L469" i="4"/>
  <c r="L465" i="4"/>
  <c r="L461" i="4"/>
  <c r="L457" i="4"/>
  <c r="L453" i="4"/>
  <c r="L466" i="4"/>
  <c r="L462" i="4"/>
  <c r="L458" i="4"/>
  <c r="L454" i="4"/>
  <c r="L448" i="4"/>
  <c r="L444" i="4"/>
  <c r="L440" i="4"/>
  <c r="L436" i="4"/>
  <c r="K434" i="4"/>
  <c r="L433" i="4"/>
  <c r="L429" i="4"/>
  <c r="L425" i="4"/>
  <c r="L421" i="4"/>
  <c r="L417" i="4"/>
  <c r="L430" i="4"/>
  <c r="L426" i="4"/>
  <c r="L422" i="4"/>
  <c r="L418" i="4"/>
  <c r="L415" i="4"/>
  <c r="L411" i="4"/>
  <c r="L407" i="4"/>
  <c r="L403" i="4"/>
  <c r="L399" i="4"/>
  <c r="L412" i="4"/>
  <c r="L408" i="4"/>
  <c r="L404" i="4"/>
  <c r="L400" i="4"/>
  <c r="K398" i="4"/>
  <c r="L397" i="4"/>
  <c r="L393" i="4"/>
  <c r="L389" i="4"/>
  <c r="L385" i="4"/>
  <c r="L381" i="4"/>
  <c r="L394" i="4"/>
  <c r="L390" i="4"/>
  <c r="L386" i="4"/>
  <c r="L382" i="4"/>
  <c r="L371" i="4"/>
  <c r="L367" i="4"/>
  <c r="L363" i="4"/>
  <c r="L376" i="4"/>
  <c r="L372" i="4"/>
  <c r="L368" i="4"/>
  <c r="L364" i="4"/>
  <c r="L353" i="4"/>
  <c r="L349" i="4"/>
  <c r="L345" i="4"/>
  <c r="L358" i="4"/>
  <c r="L354" i="4"/>
  <c r="L350" i="4"/>
  <c r="L346" i="4"/>
  <c r="K344" i="4"/>
  <c r="L343" i="4"/>
  <c r="L339" i="4"/>
  <c r="L335" i="4"/>
  <c r="L331" i="4"/>
  <c r="L327" i="4"/>
  <c r="L340" i="4"/>
  <c r="L336" i="4"/>
  <c r="L332" i="4"/>
  <c r="L328" i="4"/>
  <c r="K326" i="4"/>
  <c r="L324" i="4"/>
  <c r="L320" i="4"/>
  <c r="L316" i="4"/>
  <c r="L312" i="4"/>
  <c r="L325" i="4"/>
  <c r="L321" i="4"/>
  <c r="L317" i="4"/>
  <c r="L313" i="4"/>
  <c r="L309" i="4"/>
  <c r="L308" i="4"/>
  <c r="L307" i="4"/>
  <c r="L303" i="4"/>
  <c r="L299" i="4"/>
  <c r="L295" i="4"/>
  <c r="L291" i="4"/>
  <c r="L304" i="4"/>
  <c r="L300" i="4"/>
  <c r="L296" i="4"/>
  <c r="L292" i="4"/>
  <c r="K290" i="4"/>
  <c r="L286" i="4"/>
  <c r="L282" i="4"/>
  <c r="L278" i="4"/>
  <c r="L274" i="4"/>
  <c r="L272" i="4"/>
  <c r="L270" i="4"/>
  <c r="L266" i="4"/>
  <c r="L262" i="4"/>
  <c r="L258" i="4"/>
  <c r="L271" i="4"/>
  <c r="L267" i="4"/>
  <c r="L263" i="4"/>
  <c r="L259" i="4"/>
  <c r="L255" i="4"/>
  <c r="L254" i="4"/>
  <c r="L253" i="4"/>
  <c r="L249" i="4"/>
  <c r="L245" i="4"/>
  <c r="L241" i="4"/>
  <c r="L237" i="4"/>
  <c r="L250" i="4"/>
  <c r="L246" i="4"/>
  <c r="L242" i="4"/>
  <c r="L238" i="4"/>
  <c r="K236" i="4"/>
  <c r="L232" i="4"/>
  <c r="L228" i="4"/>
  <c r="L224" i="4"/>
  <c r="L220" i="4"/>
  <c r="K218" i="4"/>
  <c r="K216" i="4"/>
  <c r="K212" i="4"/>
  <c r="K208" i="4"/>
  <c r="K204" i="4"/>
  <c r="J200" i="4"/>
  <c r="J2" i="4"/>
  <c r="L2" i="4"/>
  <c r="K2" i="4"/>
  <c r="J3" i="4"/>
  <c r="J199" i="4"/>
  <c r="J198" i="4"/>
  <c r="K198" i="4" s="1"/>
  <c r="L197" i="4"/>
  <c r="J197" i="4"/>
  <c r="K197" i="4" s="1"/>
  <c r="L196" i="4"/>
  <c r="K196" i="4"/>
  <c r="J196" i="4"/>
  <c r="J195" i="4"/>
  <c r="L195" i="4" s="1"/>
  <c r="J194" i="4"/>
  <c r="K194" i="4" s="1"/>
  <c r="L193" i="4"/>
  <c r="J193" i="4"/>
  <c r="K193" i="4" s="1"/>
  <c r="L192" i="4"/>
  <c r="K192" i="4"/>
  <c r="J192" i="4"/>
  <c r="J191" i="4"/>
  <c r="L191" i="4" s="1"/>
  <c r="J190" i="4"/>
  <c r="K190" i="4" s="1"/>
  <c r="L189" i="4"/>
  <c r="J189" i="4"/>
  <c r="K189" i="4" s="1"/>
  <c r="L188" i="4"/>
  <c r="K188" i="4"/>
  <c r="J188" i="4"/>
  <c r="J187" i="4"/>
  <c r="L187" i="4" s="1"/>
  <c r="J186" i="4"/>
  <c r="K186" i="4" s="1"/>
  <c r="L185" i="4"/>
  <c r="J185" i="4"/>
  <c r="K185" i="4" s="1"/>
  <c r="L184" i="4"/>
  <c r="J184" i="4"/>
  <c r="K184" i="4" s="1"/>
  <c r="J183" i="4"/>
  <c r="L183" i="4" s="1"/>
  <c r="J182" i="4"/>
  <c r="K182" i="4" s="1"/>
  <c r="L181" i="4"/>
  <c r="J181" i="4"/>
  <c r="K181" i="4" s="1"/>
  <c r="L180" i="4"/>
  <c r="K180" i="4"/>
  <c r="J180" i="4"/>
  <c r="J179" i="4"/>
  <c r="L179" i="4" s="1"/>
  <c r="J178" i="4"/>
  <c r="K178" i="4" s="1"/>
  <c r="L177" i="4"/>
  <c r="J177" i="4"/>
  <c r="K177" i="4" s="1"/>
  <c r="L176" i="4"/>
  <c r="K176" i="4"/>
  <c r="J176" i="4"/>
  <c r="J175" i="4"/>
  <c r="L175" i="4" s="1"/>
  <c r="J174" i="4"/>
  <c r="K174" i="4" s="1"/>
  <c r="L173" i="4"/>
  <c r="J173" i="4"/>
  <c r="K173" i="4" s="1"/>
  <c r="J172" i="4"/>
  <c r="L172" i="4" s="1"/>
  <c r="J171" i="4"/>
  <c r="L171" i="4" s="1"/>
  <c r="J170" i="4"/>
  <c r="K170" i="4" s="1"/>
  <c r="L169" i="4"/>
  <c r="J169" i="4"/>
  <c r="K169" i="4" s="1"/>
  <c r="J168" i="4"/>
  <c r="L168" i="4" s="1"/>
  <c r="J167" i="4"/>
  <c r="L167" i="4" s="1"/>
  <c r="J166" i="4"/>
  <c r="K166" i="4" s="1"/>
  <c r="L165" i="4"/>
  <c r="J165" i="4"/>
  <c r="K165" i="4" s="1"/>
  <c r="J164" i="4"/>
  <c r="L164" i="4" s="1"/>
  <c r="J163" i="4"/>
  <c r="L163" i="4" s="1"/>
  <c r="J162" i="4"/>
  <c r="K162" i="4" s="1"/>
  <c r="L161" i="4"/>
  <c r="J161" i="4"/>
  <c r="K161" i="4" s="1"/>
  <c r="J160" i="4"/>
  <c r="L160" i="4" s="1"/>
  <c r="J159" i="4"/>
  <c r="L159" i="4" s="1"/>
  <c r="J158" i="4"/>
  <c r="K158" i="4" s="1"/>
  <c r="J157" i="4"/>
  <c r="L157" i="4" s="1"/>
  <c r="L156" i="4"/>
  <c r="J156" i="4"/>
  <c r="K156" i="4" s="1"/>
  <c r="J155" i="4"/>
  <c r="L155" i="4" s="1"/>
  <c r="J154" i="4"/>
  <c r="K154" i="4" s="1"/>
  <c r="J153" i="4"/>
  <c r="L153" i="4" s="1"/>
  <c r="L152" i="4"/>
  <c r="J152" i="4"/>
  <c r="K152" i="4" s="1"/>
  <c r="J151" i="4"/>
  <c r="L151" i="4" s="1"/>
  <c r="J150" i="4"/>
  <c r="K150" i="4" s="1"/>
  <c r="J149" i="4"/>
  <c r="L149" i="4" s="1"/>
  <c r="L148" i="4"/>
  <c r="J148" i="4"/>
  <c r="K148" i="4" s="1"/>
  <c r="L147" i="4"/>
  <c r="K147" i="4"/>
  <c r="J147" i="4"/>
  <c r="J146" i="4"/>
  <c r="K146" i="4" s="1"/>
  <c r="J145" i="4"/>
  <c r="L145" i="4" s="1"/>
  <c r="L144" i="4"/>
  <c r="J144" i="4"/>
  <c r="K144" i="4" s="1"/>
  <c r="L143" i="4"/>
  <c r="K143" i="4"/>
  <c r="J143" i="4"/>
  <c r="J142" i="4"/>
  <c r="K142" i="4" s="1"/>
  <c r="J141" i="4"/>
  <c r="L141" i="4" s="1"/>
  <c r="L140" i="4"/>
  <c r="J140" i="4"/>
  <c r="K140" i="4" s="1"/>
  <c r="L139" i="4"/>
  <c r="K139" i="4"/>
  <c r="J139" i="4"/>
  <c r="J138" i="4"/>
  <c r="K138" i="4" s="1"/>
  <c r="J137" i="4"/>
  <c r="L137" i="4" s="1"/>
  <c r="L136" i="4"/>
  <c r="J136" i="4"/>
  <c r="K136" i="4" s="1"/>
  <c r="L135" i="4"/>
  <c r="K135" i="4"/>
  <c r="J135" i="4"/>
  <c r="J134" i="4"/>
  <c r="K134" i="4" s="1"/>
  <c r="J133" i="4"/>
  <c r="L133" i="4" s="1"/>
  <c r="L132" i="4"/>
  <c r="J132" i="4"/>
  <c r="K132" i="4" s="1"/>
  <c r="L131" i="4"/>
  <c r="K131" i="4"/>
  <c r="J131" i="4"/>
  <c r="J130" i="4"/>
  <c r="K130" i="4" s="1"/>
  <c r="J129" i="4"/>
  <c r="L129" i="4" s="1"/>
  <c r="L128" i="4"/>
  <c r="J128" i="4"/>
  <c r="K128" i="4" s="1"/>
  <c r="L127" i="4"/>
  <c r="K127" i="4"/>
  <c r="J127" i="4"/>
  <c r="J126" i="4"/>
  <c r="K126" i="4" s="1"/>
  <c r="J125" i="4"/>
  <c r="L125" i="4" s="1"/>
  <c r="J124" i="4"/>
  <c r="L124" i="4" s="1"/>
  <c r="J123" i="4"/>
  <c r="L123" i="4" s="1"/>
  <c r="J122" i="4"/>
  <c r="K122" i="4" s="1"/>
  <c r="J121" i="4"/>
  <c r="L121" i="4" s="1"/>
  <c r="J120" i="4"/>
  <c r="L120" i="4" s="1"/>
  <c r="J119" i="4"/>
  <c r="L119" i="4" s="1"/>
  <c r="L118" i="4"/>
  <c r="J118" i="4"/>
  <c r="K118" i="4" s="1"/>
  <c r="K117" i="4"/>
  <c r="J117" i="4"/>
  <c r="L117" i="4" s="1"/>
  <c r="J116" i="4"/>
  <c r="L116" i="4" s="1"/>
  <c r="J115" i="4"/>
  <c r="L115" i="4" s="1"/>
  <c r="L114" i="4"/>
  <c r="J114" i="4"/>
  <c r="K114" i="4" s="1"/>
  <c r="K113" i="4"/>
  <c r="J113" i="4"/>
  <c r="L113" i="4" s="1"/>
  <c r="J112" i="4"/>
  <c r="L112" i="4" s="1"/>
  <c r="J111" i="4"/>
  <c r="L111" i="4" s="1"/>
  <c r="L110" i="4"/>
  <c r="J110" i="4"/>
  <c r="K110" i="4" s="1"/>
  <c r="L109" i="4"/>
  <c r="K109" i="4"/>
  <c r="J109" i="4"/>
  <c r="J108" i="4"/>
  <c r="L108" i="4" s="1"/>
  <c r="J107" i="4"/>
  <c r="L107" i="4" s="1"/>
  <c r="L106" i="4"/>
  <c r="J106" i="4"/>
  <c r="K106" i="4" s="1"/>
  <c r="L105" i="4"/>
  <c r="K105" i="4"/>
  <c r="J105" i="4"/>
  <c r="J104" i="4"/>
  <c r="L104" i="4" s="1"/>
  <c r="J103" i="4"/>
  <c r="L103" i="4" s="1"/>
  <c r="L102" i="4"/>
  <c r="J102" i="4"/>
  <c r="K102" i="4" s="1"/>
  <c r="L101" i="4"/>
  <c r="K101" i="4"/>
  <c r="J101" i="4"/>
  <c r="J100" i="4"/>
  <c r="L100" i="4" s="1"/>
  <c r="J99" i="4"/>
  <c r="L99" i="4" s="1"/>
  <c r="L98" i="4"/>
  <c r="J98" i="4"/>
  <c r="K98" i="4" s="1"/>
  <c r="L97" i="4"/>
  <c r="K97" i="4"/>
  <c r="J97" i="4"/>
  <c r="J96" i="4"/>
  <c r="L96" i="4" s="1"/>
  <c r="J95" i="4"/>
  <c r="L95" i="4" s="1"/>
  <c r="L94" i="4"/>
  <c r="J94" i="4"/>
  <c r="K94" i="4" s="1"/>
  <c r="L93" i="4"/>
  <c r="K93" i="4"/>
  <c r="J93" i="4"/>
  <c r="J92" i="4"/>
  <c r="L92" i="4" s="1"/>
  <c r="J91" i="4"/>
  <c r="L91" i="4" s="1"/>
  <c r="L90" i="4"/>
  <c r="J90" i="4"/>
  <c r="K90" i="4" s="1"/>
  <c r="L89" i="4"/>
  <c r="K89" i="4"/>
  <c r="J89" i="4"/>
  <c r="J88" i="4"/>
  <c r="L88" i="4" s="1"/>
  <c r="J87" i="4"/>
  <c r="L87" i="4" s="1"/>
  <c r="L86" i="4"/>
  <c r="J86" i="4"/>
  <c r="K86" i="4" s="1"/>
  <c r="L85" i="4"/>
  <c r="K85" i="4"/>
  <c r="J85" i="4"/>
  <c r="J84" i="4"/>
  <c r="L84" i="4" s="1"/>
  <c r="J83" i="4"/>
  <c r="L83" i="4" s="1"/>
  <c r="L82" i="4"/>
  <c r="J82" i="4"/>
  <c r="K82" i="4" s="1"/>
  <c r="L81" i="4"/>
  <c r="K81" i="4"/>
  <c r="J81" i="4"/>
  <c r="J80" i="4"/>
  <c r="L80" i="4" s="1"/>
  <c r="J79" i="4"/>
  <c r="L79" i="4" s="1"/>
  <c r="L78" i="4"/>
  <c r="J78" i="4"/>
  <c r="K78" i="4" s="1"/>
  <c r="L77" i="4"/>
  <c r="K77" i="4"/>
  <c r="J77" i="4"/>
  <c r="J76" i="4"/>
  <c r="L76" i="4" s="1"/>
  <c r="J75" i="4"/>
  <c r="L75" i="4" s="1"/>
  <c r="L74" i="4"/>
  <c r="J74" i="4"/>
  <c r="K74" i="4" s="1"/>
  <c r="L73" i="4"/>
  <c r="K73" i="4"/>
  <c r="L72" i="4"/>
  <c r="K72" i="4"/>
  <c r="L71" i="4"/>
  <c r="K71" i="4"/>
  <c r="L70" i="4"/>
  <c r="K70" i="4"/>
  <c r="L69" i="4"/>
  <c r="K69" i="4"/>
  <c r="L68" i="4"/>
  <c r="K68" i="4"/>
  <c r="L67" i="4"/>
  <c r="K67" i="4"/>
  <c r="L66" i="4"/>
  <c r="K66" i="4"/>
  <c r="L65" i="4"/>
  <c r="K65" i="4"/>
  <c r="L64" i="4"/>
  <c r="K64" i="4"/>
  <c r="L63" i="4"/>
  <c r="K63" i="4"/>
  <c r="L62" i="4"/>
  <c r="K62" i="4"/>
  <c r="L61" i="4"/>
  <c r="K61" i="4"/>
  <c r="L60" i="4"/>
  <c r="K60" i="4"/>
  <c r="L59" i="4"/>
  <c r="K59" i="4"/>
  <c r="L58" i="4"/>
  <c r="K58" i="4"/>
  <c r="L57" i="4"/>
  <c r="K57" i="4"/>
  <c r="L56" i="4"/>
  <c r="K56" i="4"/>
  <c r="J55" i="4"/>
  <c r="L55" i="4" s="1"/>
  <c r="J54" i="4"/>
  <c r="L54" i="4" s="1"/>
  <c r="J53" i="4"/>
  <c r="L53" i="4" s="1"/>
  <c r="L52" i="4"/>
  <c r="K52" i="4"/>
  <c r="J52" i="4"/>
  <c r="J51" i="4"/>
  <c r="L51" i="4" s="1"/>
  <c r="J50" i="4"/>
  <c r="L50" i="4" s="1"/>
  <c r="J49" i="4"/>
  <c r="L49" i="4" s="1"/>
  <c r="L48" i="4"/>
  <c r="K48" i="4"/>
  <c r="J48" i="4"/>
  <c r="J47" i="4"/>
  <c r="L47" i="4" s="1"/>
  <c r="J46" i="4"/>
  <c r="L46" i="4" s="1"/>
  <c r="J45" i="4"/>
  <c r="L45" i="4" s="1"/>
  <c r="L44" i="4"/>
  <c r="J44" i="4"/>
  <c r="K44" i="4" s="1"/>
  <c r="J43" i="4"/>
  <c r="L43" i="4" s="1"/>
  <c r="J42" i="4"/>
  <c r="L42" i="4" s="1"/>
  <c r="J41" i="4"/>
  <c r="L41" i="4" s="1"/>
  <c r="L40" i="4"/>
  <c r="J40" i="4"/>
  <c r="K40" i="4" s="1"/>
  <c r="J39" i="4"/>
  <c r="L39" i="4" s="1"/>
  <c r="J38" i="4"/>
  <c r="L38" i="4" s="1"/>
  <c r="J37" i="4"/>
  <c r="L37" i="4" s="1"/>
  <c r="L36" i="4"/>
  <c r="J36" i="4"/>
  <c r="K36" i="4" s="1"/>
  <c r="J35" i="4"/>
  <c r="L35" i="4" s="1"/>
  <c r="J34" i="4"/>
  <c r="L34" i="4" s="1"/>
  <c r="J33" i="4"/>
  <c r="L33" i="4" s="1"/>
  <c r="J32" i="4"/>
  <c r="K32" i="4" s="1"/>
  <c r="J31" i="4"/>
  <c r="L31" i="4" s="1"/>
  <c r="J30" i="4"/>
  <c r="L30" i="4" s="1"/>
  <c r="J29" i="4"/>
  <c r="L29" i="4" s="1"/>
  <c r="J28" i="4"/>
  <c r="K28" i="4" s="1"/>
  <c r="J27" i="4"/>
  <c r="L27" i="4" s="1"/>
  <c r="J26" i="4"/>
  <c r="L26" i="4" s="1"/>
  <c r="J25" i="4"/>
  <c r="L25" i="4" s="1"/>
  <c r="J24" i="4"/>
  <c r="K24" i="4" s="1"/>
  <c r="J23" i="4"/>
  <c r="L23" i="4" s="1"/>
  <c r="J22" i="4"/>
  <c r="L22" i="4" s="1"/>
  <c r="J21" i="4"/>
  <c r="L21" i="4" s="1"/>
  <c r="J20" i="4"/>
  <c r="K20" i="4" s="1"/>
  <c r="J19" i="4"/>
  <c r="L19" i="4" s="1"/>
  <c r="J18" i="4"/>
  <c r="L18" i="4" s="1"/>
  <c r="J17" i="4"/>
  <c r="L17" i="4" s="1"/>
  <c r="J16" i="4"/>
  <c r="K16" i="4" s="1"/>
  <c r="J15" i="4"/>
  <c r="L15" i="4" s="1"/>
  <c r="J14" i="4"/>
  <c r="L14" i="4" s="1"/>
  <c r="J13" i="4"/>
  <c r="L13" i="4" s="1"/>
  <c r="J12" i="4"/>
  <c r="K12" i="4" s="1"/>
  <c r="J11" i="4"/>
  <c r="L11" i="4" s="1"/>
  <c r="J10" i="4"/>
  <c r="L10" i="4" s="1"/>
  <c r="J9" i="4"/>
  <c r="L9" i="4" s="1"/>
  <c r="J8" i="4"/>
  <c r="K8" i="4" s="1"/>
  <c r="J7" i="4"/>
  <c r="L7" i="4" s="1"/>
  <c r="L6" i="4"/>
  <c r="J6" i="4"/>
  <c r="K6" i="4" s="1"/>
  <c r="K5" i="4"/>
  <c r="J5" i="4"/>
  <c r="L5" i="4" s="1"/>
  <c r="J4" i="4"/>
  <c r="K4" i="4" s="1"/>
  <c r="L3" i="4"/>
  <c r="K3" i="4" l="1"/>
  <c r="L4" i="4"/>
  <c r="K7" i="4"/>
  <c r="L8" i="4"/>
  <c r="K11" i="4"/>
  <c r="L12" i="4"/>
  <c r="K15" i="4"/>
  <c r="L16" i="4"/>
  <c r="K19" i="4"/>
  <c r="L20" i="4"/>
  <c r="K23" i="4"/>
  <c r="L24" i="4"/>
  <c r="K27" i="4"/>
  <c r="L28" i="4"/>
  <c r="K31" i="4"/>
  <c r="L32" i="4"/>
  <c r="K35" i="4"/>
  <c r="K39" i="4"/>
  <c r="K43" i="4"/>
  <c r="K47" i="4"/>
  <c r="K51" i="4"/>
  <c r="K55" i="4"/>
  <c r="K121" i="4"/>
  <c r="L122" i="4"/>
  <c r="K125" i="4"/>
  <c r="L126" i="4"/>
  <c r="K129" i="4"/>
  <c r="L130" i="4"/>
  <c r="K133" i="4"/>
  <c r="L134" i="4"/>
  <c r="K137" i="4"/>
  <c r="L138" i="4"/>
  <c r="K141" i="4"/>
  <c r="L142" i="4"/>
  <c r="K145" i="4"/>
  <c r="L146" i="4"/>
  <c r="K149" i="4"/>
  <c r="L150" i="4"/>
  <c r="K153" i="4"/>
  <c r="L154" i="4"/>
  <c r="K157" i="4"/>
  <c r="L158" i="4"/>
  <c r="L162" i="4"/>
  <c r="L166" i="4"/>
  <c r="L170" i="4"/>
  <c r="L174" i="4"/>
  <c r="L178" i="4"/>
  <c r="L182" i="4"/>
  <c r="L186" i="4"/>
  <c r="L190" i="4"/>
  <c r="L194" i="4"/>
  <c r="L198" i="4"/>
  <c r="K10" i="4"/>
  <c r="K14" i="4"/>
  <c r="K18" i="4"/>
  <c r="K22" i="4"/>
  <c r="K26" i="4"/>
  <c r="K30" i="4"/>
  <c r="K34" i="4"/>
  <c r="K38" i="4"/>
  <c r="K42" i="4"/>
  <c r="K46" i="4"/>
  <c r="K50" i="4"/>
  <c r="K54" i="4"/>
  <c r="K76" i="4"/>
  <c r="K80" i="4"/>
  <c r="K84" i="4"/>
  <c r="K88" i="4"/>
  <c r="K92" i="4"/>
  <c r="K96" i="4"/>
  <c r="K100" i="4"/>
  <c r="K104" i="4"/>
  <c r="K108" i="4"/>
  <c r="K112" i="4"/>
  <c r="K116" i="4"/>
  <c r="K120" i="4"/>
  <c r="K124" i="4"/>
  <c r="K160" i="4"/>
  <c r="K164" i="4"/>
  <c r="K168" i="4"/>
  <c r="K172" i="4"/>
  <c r="K9" i="4"/>
  <c r="K13" i="4"/>
  <c r="K17" i="4"/>
  <c r="K21" i="4"/>
  <c r="K25" i="4"/>
  <c r="K29" i="4"/>
  <c r="K33" i="4"/>
  <c r="K37" i="4"/>
  <c r="K41" i="4"/>
  <c r="K45" i="4"/>
  <c r="K49" i="4"/>
  <c r="K53" i="4"/>
  <c r="K75" i="4"/>
  <c r="K79" i="4"/>
  <c r="K83" i="4"/>
  <c r="K87" i="4"/>
  <c r="K91" i="4"/>
  <c r="K95" i="4"/>
  <c r="K99" i="4"/>
  <c r="K103" i="4"/>
  <c r="K107" i="4"/>
  <c r="K111" i="4"/>
  <c r="K115" i="4"/>
  <c r="K119" i="4"/>
  <c r="K123" i="4"/>
  <c r="K151" i="4"/>
  <c r="K155" i="4"/>
  <c r="K159" i="4"/>
  <c r="K163" i="4"/>
  <c r="K167" i="4"/>
  <c r="K171" i="4"/>
  <c r="K175" i="4"/>
  <c r="K179" i="4"/>
  <c r="K183" i="4"/>
  <c r="K187" i="4"/>
  <c r="K191" i="4"/>
  <c r="K195" i="4"/>
  <c r="D3" i="4" l="1"/>
  <c r="D4" i="4"/>
  <c r="D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 i="4"/>
  <c r="C183" i="4"/>
  <c r="C184" i="4"/>
  <c r="C185" i="4"/>
  <c r="E185" i="4" s="1"/>
  <c r="C186" i="4"/>
  <c r="E186" i="4" s="1"/>
  <c r="C187" i="4"/>
  <c r="C188" i="4"/>
  <c r="C189" i="4"/>
  <c r="E189" i="4" s="1"/>
  <c r="C190" i="4"/>
  <c r="E190" i="4" s="1"/>
  <c r="C191" i="4"/>
  <c r="C192" i="4"/>
  <c r="C193" i="4"/>
  <c r="E193" i="4" s="1"/>
  <c r="C194" i="4"/>
  <c r="E194" i="4" s="1"/>
  <c r="C195" i="4"/>
  <c r="C196" i="4"/>
  <c r="C197" i="4"/>
  <c r="E197" i="4" s="1"/>
  <c r="C198" i="4"/>
  <c r="E198" i="4" s="1"/>
  <c r="C199" i="4"/>
  <c r="E182" i="4"/>
  <c r="E183" i="4"/>
  <c r="E184" i="4"/>
  <c r="E187" i="4"/>
  <c r="E188" i="4"/>
  <c r="E191" i="4"/>
  <c r="E192" i="4"/>
  <c r="E195" i="4"/>
  <c r="E196" i="4"/>
  <c r="E199" i="4"/>
  <c r="C182" i="4"/>
  <c r="C165" i="4"/>
  <c r="C166" i="4"/>
  <c r="C167" i="4"/>
  <c r="E167" i="4" s="1"/>
  <c r="C168" i="4"/>
  <c r="E168" i="4" s="1"/>
  <c r="C169" i="4"/>
  <c r="C170" i="4"/>
  <c r="C171" i="4"/>
  <c r="E171" i="4" s="1"/>
  <c r="C172" i="4"/>
  <c r="E172" i="4" s="1"/>
  <c r="C173" i="4"/>
  <c r="C174" i="4"/>
  <c r="C175" i="4"/>
  <c r="E175" i="4" s="1"/>
  <c r="C176" i="4"/>
  <c r="E176" i="4" s="1"/>
  <c r="C177" i="4"/>
  <c r="C178" i="4"/>
  <c r="C179" i="4"/>
  <c r="E179" i="4" s="1"/>
  <c r="C180" i="4"/>
  <c r="E180" i="4" s="1"/>
  <c r="C181" i="4"/>
  <c r="E164" i="4"/>
  <c r="E165" i="4"/>
  <c r="E166" i="4"/>
  <c r="E169" i="4"/>
  <c r="E170" i="4"/>
  <c r="E173" i="4"/>
  <c r="E174" i="4"/>
  <c r="E177" i="4"/>
  <c r="E178" i="4"/>
  <c r="E181" i="4"/>
  <c r="C164" i="4"/>
  <c r="E146" i="4"/>
  <c r="E147" i="4"/>
  <c r="E148" i="4"/>
  <c r="E149" i="4"/>
  <c r="E150" i="4"/>
  <c r="E151" i="4"/>
  <c r="E152" i="4"/>
  <c r="E153" i="4"/>
  <c r="E154" i="4"/>
  <c r="E155" i="4"/>
  <c r="E156" i="4"/>
  <c r="E157" i="4"/>
  <c r="E158" i="4"/>
  <c r="E159" i="4"/>
  <c r="E160" i="4"/>
  <c r="E161" i="4"/>
  <c r="E162" i="4"/>
  <c r="E163" i="4"/>
  <c r="C147" i="4"/>
  <c r="C148" i="4"/>
  <c r="C149" i="4"/>
  <c r="C150" i="4"/>
  <c r="C151" i="4"/>
  <c r="C152" i="4"/>
  <c r="C153" i="4"/>
  <c r="C154" i="4"/>
  <c r="C155" i="4"/>
  <c r="C156" i="4"/>
  <c r="C157" i="4"/>
  <c r="C158" i="4"/>
  <c r="C159" i="4"/>
  <c r="C160" i="4"/>
  <c r="C161" i="4"/>
  <c r="C162" i="4"/>
  <c r="C163" i="4"/>
  <c r="C146" i="4"/>
  <c r="E131" i="4"/>
  <c r="E135" i="4"/>
  <c r="E139" i="4"/>
  <c r="E143" i="4"/>
  <c r="C129" i="4"/>
  <c r="E129" i="4" s="1"/>
  <c r="C130" i="4"/>
  <c r="E130" i="4" s="1"/>
  <c r="C131" i="4"/>
  <c r="C132" i="4"/>
  <c r="E132" i="4" s="1"/>
  <c r="C133" i="4"/>
  <c r="E133" i="4" s="1"/>
  <c r="C134" i="4"/>
  <c r="E134" i="4" s="1"/>
  <c r="C135" i="4"/>
  <c r="C136" i="4"/>
  <c r="E136" i="4" s="1"/>
  <c r="C137" i="4"/>
  <c r="E137" i="4" s="1"/>
  <c r="C138" i="4"/>
  <c r="E138" i="4" s="1"/>
  <c r="C139" i="4"/>
  <c r="C140" i="4"/>
  <c r="E140" i="4" s="1"/>
  <c r="C141" i="4"/>
  <c r="E141" i="4" s="1"/>
  <c r="C142" i="4"/>
  <c r="E142" i="4" s="1"/>
  <c r="C143" i="4"/>
  <c r="C144" i="4"/>
  <c r="E144" i="4" s="1"/>
  <c r="C145" i="4"/>
  <c r="E145" i="4" s="1"/>
  <c r="C128" i="4"/>
  <c r="E128" i="4" s="1"/>
  <c r="E116" i="4"/>
  <c r="E117" i="4"/>
  <c r="E124" i="4"/>
  <c r="E125" i="4"/>
  <c r="E56" i="4"/>
  <c r="E57" i="4"/>
  <c r="E58" i="4"/>
  <c r="E59" i="4"/>
  <c r="E60" i="4"/>
  <c r="E61" i="4"/>
  <c r="E62" i="4"/>
  <c r="E63" i="4"/>
  <c r="E64" i="4"/>
  <c r="E65" i="4"/>
  <c r="E66" i="4"/>
  <c r="E67" i="4"/>
  <c r="E68" i="4"/>
  <c r="E69" i="4"/>
  <c r="E70" i="4"/>
  <c r="E71" i="4"/>
  <c r="E72" i="4"/>
  <c r="E73" i="4"/>
  <c r="C111" i="4"/>
  <c r="E111" i="4" s="1"/>
  <c r="C112" i="4"/>
  <c r="E112" i="4" s="1"/>
  <c r="C113" i="4"/>
  <c r="E113" i="4" s="1"/>
  <c r="C114" i="4"/>
  <c r="E114" i="4" s="1"/>
  <c r="C115" i="4"/>
  <c r="E115" i="4" s="1"/>
  <c r="C116" i="4"/>
  <c r="C117" i="4"/>
  <c r="C118" i="4"/>
  <c r="E118" i="4" s="1"/>
  <c r="C119" i="4"/>
  <c r="E119" i="4" s="1"/>
  <c r="C120" i="4"/>
  <c r="E120" i="4" s="1"/>
  <c r="C121" i="4"/>
  <c r="E121" i="4" s="1"/>
  <c r="C122" i="4"/>
  <c r="E122" i="4" s="1"/>
  <c r="C123" i="4"/>
  <c r="E123" i="4" s="1"/>
  <c r="C124" i="4"/>
  <c r="C125" i="4"/>
  <c r="C126" i="4"/>
  <c r="E126" i="4" s="1"/>
  <c r="C127" i="4"/>
  <c r="E127" i="4" s="1"/>
  <c r="C110" i="4"/>
  <c r="E110" i="4" s="1"/>
  <c r="C93" i="4"/>
  <c r="E93" i="4" s="1"/>
  <c r="C94" i="4"/>
  <c r="E94" i="4" s="1"/>
  <c r="C95" i="4"/>
  <c r="E95" i="4" s="1"/>
  <c r="C96" i="4"/>
  <c r="E96" i="4" s="1"/>
  <c r="C97" i="4"/>
  <c r="E97" i="4" s="1"/>
  <c r="C98" i="4"/>
  <c r="E98" i="4" s="1"/>
  <c r="C99" i="4"/>
  <c r="E99" i="4" s="1"/>
  <c r="C100" i="4"/>
  <c r="E100" i="4" s="1"/>
  <c r="C101" i="4"/>
  <c r="E101" i="4" s="1"/>
  <c r="C102" i="4"/>
  <c r="E102" i="4" s="1"/>
  <c r="C103" i="4"/>
  <c r="E103" i="4" s="1"/>
  <c r="C104" i="4"/>
  <c r="E104" i="4" s="1"/>
  <c r="C105" i="4"/>
  <c r="E105" i="4" s="1"/>
  <c r="C106" i="4"/>
  <c r="E106" i="4" s="1"/>
  <c r="C107" i="4"/>
  <c r="E107" i="4" s="1"/>
  <c r="C108" i="4"/>
  <c r="E108" i="4" s="1"/>
  <c r="C109" i="4"/>
  <c r="E109" i="4" s="1"/>
  <c r="C92" i="4"/>
  <c r="E92" i="4" s="1"/>
  <c r="C75" i="4"/>
  <c r="E75" i="4" s="1"/>
  <c r="C76" i="4"/>
  <c r="E76" i="4" s="1"/>
  <c r="C77" i="4"/>
  <c r="E77" i="4" s="1"/>
  <c r="C78" i="4"/>
  <c r="E78" i="4" s="1"/>
  <c r="C79" i="4"/>
  <c r="E79" i="4" s="1"/>
  <c r="C80" i="4"/>
  <c r="E80" i="4" s="1"/>
  <c r="C81" i="4"/>
  <c r="E81" i="4" s="1"/>
  <c r="C82" i="4"/>
  <c r="E82" i="4" s="1"/>
  <c r="C83" i="4"/>
  <c r="E83" i="4" s="1"/>
  <c r="C84" i="4"/>
  <c r="E84" i="4" s="1"/>
  <c r="C85" i="4"/>
  <c r="E85" i="4" s="1"/>
  <c r="C86" i="4"/>
  <c r="E86" i="4" s="1"/>
  <c r="C87" i="4"/>
  <c r="E87" i="4" s="1"/>
  <c r="C88" i="4"/>
  <c r="E88" i="4" s="1"/>
  <c r="C89" i="4"/>
  <c r="E89" i="4" s="1"/>
  <c r="C90" i="4"/>
  <c r="E90" i="4" s="1"/>
  <c r="C91" i="4"/>
  <c r="E91" i="4" s="1"/>
  <c r="C74" i="4"/>
  <c r="E74" i="4" s="1"/>
  <c r="C39" i="4"/>
  <c r="E39" i="4" s="1"/>
  <c r="C40" i="4"/>
  <c r="E40" i="4" s="1"/>
  <c r="C41" i="4"/>
  <c r="E41" i="4" s="1"/>
  <c r="C42" i="4"/>
  <c r="E42" i="4" s="1"/>
  <c r="C43" i="4"/>
  <c r="E43" i="4" s="1"/>
  <c r="C44" i="4"/>
  <c r="E44" i="4" s="1"/>
  <c r="C45" i="4"/>
  <c r="E45" i="4" s="1"/>
  <c r="C46" i="4"/>
  <c r="E46" i="4" s="1"/>
  <c r="C47" i="4"/>
  <c r="E47" i="4" s="1"/>
  <c r="C48" i="4"/>
  <c r="E48" i="4" s="1"/>
  <c r="C49" i="4"/>
  <c r="E49" i="4" s="1"/>
  <c r="C50" i="4"/>
  <c r="E50" i="4" s="1"/>
  <c r="C51" i="4"/>
  <c r="E51" i="4" s="1"/>
  <c r="C52" i="4"/>
  <c r="E52" i="4" s="1"/>
  <c r="C53" i="4"/>
  <c r="E53" i="4" s="1"/>
  <c r="C54" i="4"/>
  <c r="E54" i="4" s="1"/>
  <c r="C55" i="4"/>
  <c r="E55" i="4" s="1"/>
  <c r="C38" i="4"/>
  <c r="E38" i="4" s="1"/>
  <c r="C21" i="4"/>
  <c r="E21" i="4" s="1"/>
  <c r="C22" i="4"/>
  <c r="E22" i="4" s="1"/>
  <c r="C23" i="4"/>
  <c r="E23" i="4" s="1"/>
  <c r="C24" i="4"/>
  <c r="E24" i="4" s="1"/>
  <c r="C25" i="4"/>
  <c r="E25" i="4" s="1"/>
  <c r="C26" i="4"/>
  <c r="E26" i="4" s="1"/>
  <c r="C27" i="4"/>
  <c r="E27" i="4" s="1"/>
  <c r="C28" i="4"/>
  <c r="E28" i="4" s="1"/>
  <c r="C29" i="4"/>
  <c r="E29" i="4" s="1"/>
  <c r="C30" i="4"/>
  <c r="E30" i="4" s="1"/>
  <c r="C31" i="4"/>
  <c r="E31" i="4" s="1"/>
  <c r="C32" i="4"/>
  <c r="E32" i="4" s="1"/>
  <c r="C33" i="4"/>
  <c r="E33" i="4" s="1"/>
  <c r="C34" i="4"/>
  <c r="E34" i="4" s="1"/>
  <c r="C35" i="4"/>
  <c r="E35" i="4" s="1"/>
  <c r="C36" i="4"/>
  <c r="E36" i="4" s="1"/>
  <c r="C37" i="4"/>
  <c r="E37" i="4" s="1"/>
  <c r="C20" i="4"/>
  <c r="E20" i="4" s="1"/>
  <c r="C3" i="4"/>
  <c r="E3" i="4" s="1"/>
  <c r="C4" i="4"/>
  <c r="E4" i="4" s="1"/>
  <c r="C5" i="4"/>
  <c r="E5" i="4" s="1"/>
  <c r="C6" i="4"/>
  <c r="E6" i="4" s="1"/>
  <c r="C7" i="4"/>
  <c r="E7" i="4" s="1"/>
  <c r="C8" i="4"/>
  <c r="E8" i="4" s="1"/>
  <c r="C9" i="4"/>
  <c r="E9" i="4" s="1"/>
  <c r="C10" i="4"/>
  <c r="E10" i="4" s="1"/>
  <c r="C11" i="4"/>
  <c r="E11" i="4" s="1"/>
  <c r="C12" i="4"/>
  <c r="E12" i="4" s="1"/>
  <c r="C13" i="4"/>
  <c r="E13" i="4" s="1"/>
  <c r="C14" i="4"/>
  <c r="E14" i="4" s="1"/>
  <c r="C15" i="4"/>
  <c r="E15" i="4" s="1"/>
  <c r="C16" i="4"/>
  <c r="E16" i="4" s="1"/>
  <c r="C17" i="4"/>
  <c r="E17" i="4" s="1"/>
  <c r="C18" i="4"/>
  <c r="E18" i="4" s="1"/>
  <c r="C19" i="4"/>
  <c r="E19" i="4" s="1"/>
  <c r="C2" i="4"/>
  <c r="E2" i="4" s="1"/>
  <c r="J23" i="1" l="1"/>
  <c r="B1" i="1" s="1"/>
  <c r="D13" i="2" l="1"/>
  <c r="K13" i="2" s="1"/>
  <c r="N13" i="2" l="1"/>
  <c r="C1" i="2" s="1"/>
  <c r="G36" i="2"/>
  <c r="G32" i="2"/>
  <c r="G28" i="2"/>
  <c r="G24" i="2"/>
  <c r="G39" i="2"/>
  <c r="G35" i="2"/>
  <c r="G31" i="2"/>
  <c r="G27" i="2"/>
  <c r="G23" i="2"/>
  <c r="G38" i="2"/>
  <c r="G34" i="2"/>
  <c r="G30" i="2"/>
  <c r="G26" i="2"/>
  <c r="G37" i="2"/>
  <c r="G33" i="2"/>
  <c r="G29" i="2"/>
  <c r="G25" i="2" l="1"/>
  <c r="C25" i="2" s="1"/>
  <c r="H38" i="2"/>
  <c r="C26" i="2"/>
  <c r="C23" i="2"/>
  <c r="H23" i="2"/>
  <c r="H39" i="2"/>
  <c r="C27" i="2"/>
  <c r="C24" i="2"/>
  <c r="L20" i="2"/>
  <c r="O20" i="2"/>
  <c r="G21" i="2" l="1"/>
  <c r="C21" i="2" s="1"/>
  <c r="G22" i="2"/>
  <c r="G20" i="2"/>
  <c r="K36" i="2"/>
  <c r="H36" i="2" s="1"/>
  <c r="K29" i="2"/>
  <c r="H29" i="2" s="1"/>
  <c r="E33" i="2"/>
  <c r="K27" i="2"/>
  <c r="H27" i="2" s="1"/>
  <c r="K30" i="2"/>
  <c r="H30" i="2" s="1"/>
  <c r="E28" i="2"/>
  <c r="E39" i="2"/>
  <c r="E34" i="2"/>
  <c r="E29" i="2"/>
  <c r="K28" i="2"/>
  <c r="H28" i="2" s="1"/>
  <c r="E30" i="2"/>
  <c r="E36" i="2"/>
  <c r="E37" i="2"/>
  <c r="E32" i="2"/>
  <c r="K31" i="2"/>
  <c r="H31" i="2" s="1"/>
  <c r="K35" i="2"/>
  <c r="H35" i="2" s="1"/>
  <c r="K24" i="2"/>
  <c r="H24" i="2" s="1"/>
  <c r="K32" i="2"/>
  <c r="H32" i="2" s="1"/>
  <c r="E35" i="2"/>
  <c r="K26" i="2"/>
  <c r="H26" i="2" s="1"/>
  <c r="K25" i="2"/>
  <c r="H25" i="2" s="1"/>
  <c r="K33" i="2"/>
  <c r="H33" i="2" s="1"/>
  <c r="K37" i="2"/>
  <c r="H37" i="2" s="1"/>
  <c r="K34" i="2"/>
  <c r="H34" i="2" s="1"/>
  <c r="E38" i="2"/>
  <c r="E31" i="2"/>
  <c r="G40" i="2" l="1"/>
  <c r="H21" i="2"/>
  <c r="C20" i="2"/>
  <c r="S20" i="2" s="1"/>
  <c r="H22" i="2"/>
  <c r="C22" i="2"/>
  <c r="F30" i="2"/>
  <c r="C30" i="2"/>
  <c r="F38" i="2"/>
  <c r="C38" i="2"/>
  <c r="F32" i="2"/>
  <c r="C32" i="2"/>
  <c r="F28" i="2"/>
  <c r="C28" i="2"/>
  <c r="F35" i="2"/>
  <c r="C35" i="2"/>
  <c r="F29" i="2"/>
  <c r="C29" i="2"/>
  <c r="F31" i="2"/>
  <c r="C31" i="2"/>
  <c r="F37" i="2"/>
  <c r="C37" i="2"/>
  <c r="F36" i="2"/>
  <c r="C36" i="2"/>
  <c r="F34" i="2"/>
  <c r="C34" i="2"/>
  <c r="F39" i="2"/>
  <c r="C39" i="2"/>
  <c r="F33" i="2"/>
  <c r="C33" i="2"/>
  <c r="L26" i="2"/>
  <c r="L31" i="2"/>
  <c r="L33" i="2"/>
  <c r="L24" i="2"/>
  <c r="L28" i="2"/>
  <c r="L23" i="2"/>
  <c r="L27" i="2"/>
  <c r="L36" i="2"/>
  <c r="L32" i="2"/>
  <c r="L29" i="2"/>
  <c r="L34" i="2"/>
  <c r="L38" i="2"/>
  <c r="L21" i="2"/>
  <c r="L30" i="2"/>
  <c r="L37" i="2"/>
  <c r="L25" i="2"/>
  <c r="L35" i="2"/>
  <c r="L39" i="2"/>
  <c r="L22" i="2"/>
  <c r="U20" i="2" l="1"/>
  <c r="T20" i="2"/>
  <c r="S25" i="2"/>
  <c r="T25" i="2"/>
  <c r="U25" i="2"/>
  <c r="T39" i="2"/>
  <c r="U39" i="2"/>
  <c r="S39" i="2"/>
  <c r="T26" i="2"/>
  <c r="S26" i="2"/>
  <c r="U26" i="2"/>
  <c r="T34" i="2"/>
  <c r="S34" i="2"/>
  <c r="U34" i="2"/>
  <c r="T30" i="2"/>
  <c r="U30" i="2"/>
  <c r="S30" i="2"/>
  <c r="S21" i="2"/>
  <c r="T21" i="2"/>
  <c r="U21" i="2"/>
  <c r="U28" i="2"/>
  <c r="S28" i="2"/>
  <c r="T28" i="2"/>
  <c r="S23" i="2"/>
  <c r="U23" i="2"/>
  <c r="T23" i="2"/>
  <c r="U37" i="2"/>
  <c r="S37" i="2"/>
  <c r="T37" i="2"/>
  <c r="T32" i="2"/>
  <c r="S32" i="2"/>
  <c r="U32" i="2"/>
  <c r="U27" i="2"/>
  <c r="S27" i="2"/>
  <c r="T27" i="2"/>
  <c r="T38" i="2"/>
  <c r="S38" i="2"/>
  <c r="U38" i="2"/>
  <c r="T31" i="2"/>
  <c r="U31" i="2"/>
  <c r="S31" i="2"/>
  <c r="S33" i="2"/>
  <c r="U33" i="2"/>
  <c r="T33" i="2"/>
  <c r="T36" i="2"/>
  <c r="U36" i="2"/>
  <c r="S36" i="2"/>
  <c r="S35" i="2"/>
  <c r="U35" i="2"/>
  <c r="T35" i="2"/>
  <c r="U24" i="2"/>
  <c r="S24" i="2"/>
  <c r="T24" i="2"/>
  <c r="U29" i="2"/>
  <c r="T29" i="2"/>
  <c r="S29" i="2"/>
  <c r="T22" i="2"/>
  <c r="S22" i="2"/>
  <c r="U22" i="2"/>
  <c r="T40" i="2" l="1"/>
  <c r="C42" i="2" s="1"/>
  <c r="S40" i="2"/>
  <c r="C46" i="2" s="1"/>
  <c r="U40" i="2"/>
  <c r="C49" i="2" s="1"/>
</calcChain>
</file>

<file path=xl/sharedStrings.xml><?xml version="1.0" encoding="utf-8"?>
<sst xmlns="http://schemas.openxmlformats.org/spreadsheetml/2006/main" count="1562" uniqueCount="127">
  <si>
    <t>Dettaglio degli esiti</t>
  </si>
  <si>
    <t xml:space="preserve">Imposta omessa e/o minor credito da versare </t>
  </si>
  <si>
    <t xml:space="preserve">Contributi previdenziali e somme aggiuntive </t>
  </si>
  <si>
    <t xml:space="preserve">Importo totale della comunicazione </t>
  </si>
  <si>
    <t>Importo residuo
con sanzioni ridotte</t>
  </si>
  <si>
    <t>Sanzione per omesso versamento (10%)</t>
  </si>
  <si>
    <t>Sanzione per tardivo versamento superiore a 90 giorni (10%)</t>
  </si>
  <si>
    <t>Sanzione per tardivo versamento da 15 a 90 giorni (5%)</t>
  </si>
  <si>
    <t>Sanzione per tardivo versamento di 14 giorni (4,67%)</t>
  </si>
  <si>
    <t>Sanzione per tardivo versamento di 13 giorni (4,33%)</t>
  </si>
  <si>
    <t>Sanzione per tardivo versamento di 12 giorni (4%)</t>
  </si>
  <si>
    <t>Sanzione per tardivo versamento di 11 giorni (3,67%)</t>
  </si>
  <si>
    <t>Sanzione per tardivo versamento di 10 giorni (3,33%)</t>
  </si>
  <si>
    <r>
      <t>Sanzione per tardivo versamento fino a 9 giorni (</t>
    </r>
    <r>
      <rPr>
        <sz val="11"/>
        <color theme="1"/>
        <rFont val="Calibri"/>
        <family val="2"/>
      </rPr>
      <t>≤3%)</t>
    </r>
  </si>
  <si>
    <t>Importo residuo (totale)</t>
  </si>
  <si>
    <t>Inserire l'importo complessivo delle imposte (o delle ritenute in caso di mod. 770) omesse e/o dei minori crediti da versare, come indicati nei singoli esiti della comunicazione ricevuta.</t>
  </si>
  <si>
    <t>Inserire l'importo complessivo delle sanzioni dovute per omesso versamento o minor credito, come indicate nei singoli esiti della comunicazione ricevuta.</t>
  </si>
  <si>
    <t>Inserire l'importo complessivo degli interessi dovuti per omesso o tardivo versamento, come indicati nei singoli esiti della comunicazione ricevuta.</t>
  </si>
  <si>
    <t>Se nella comunicazione sono presenti esiti di omesso o tardivo versamento relativi a contributi previdenziali, inserire l'importo complessivo dei contributi e delle somme aggiuntive dovuti a tale titolo.</t>
  </si>
  <si>
    <t>Verificare che l'importo calcolato dal programma coincida con l'importo totale richiesto con la comunicazione degli esiti, indicato nel modello F24 allegato alla comunicazione stessa.</t>
  </si>
  <si>
    <t>L'importo residuo è pari alla differenza tra l'importo richiesto con la comunicazione e l'importo versato.</t>
  </si>
  <si>
    <t xml:space="preserve">L'importo residuo con sanzioni ridotte corrisponde all'importo da versare, in unica soluzione o in forma rateale, per perfezionare la definizione agevolata. </t>
  </si>
  <si>
    <t>Importo residuo con sanzioni ridotte (totale)</t>
  </si>
  <si>
    <t>Capodanno</t>
  </si>
  <si>
    <t>Epifania</t>
  </si>
  <si>
    <t>Ognissanti</t>
  </si>
  <si>
    <t>Giorno</t>
  </si>
  <si>
    <t>Anno</t>
  </si>
  <si>
    <t>Pasquetta</t>
  </si>
  <si>
    <t>Festa</t>
  </si>
  <si>
    <t>DATA</t>
  </si>
  <si>
    <t>NUMERO</t>
  </si>
  <si>
    <t>25 aprile</t>
  </si>
  <si>
    <t>1° maggio</t>
  </si>
  <si>
    <t>2 giugno</t>
  </si>
  <si>
    <t>Ferragosto</t>
  </si>
  <si>
    <t>Immacolata</t>
  </si>
  <si>
    <t>Natale</t>
  </si>
  <si>
    <t>S. Stefano</t>
  </si>
  <si>
    <t>FESTA</t>
  </si>
  <si>
    <t>GIORNO</t>
  </si>
  <si>
    <t>Scadenza rata</t>
  </si>
  <si>
    <t>Rata</t>
  </si>
  <si>
    <t>Importo rata
(codice tributo 9001)</t>
  </si>
  <si>
    <t>Importo interessi da rateazione
(codice tributo 9002)</t>
  </si>
  <si>
    <t>Totale</t>
  </si>
  <si>
    <t>RATEAZIONE DEL DEBITO RESIDUO AL AL 1° GENNAIO 2023 PER DEFINIZIONE AGEVOLATA</t>
  </si>
  <si>
    <t>Data consegna comunicazione</t>
  </si>
  <si>
    <t>1° agosto</t>
  </si>
  <si>
    <t>2 agosto</t>
  </si>
  <si>
    <t>3 agosto</t>
  </si>
  <si>
    <t>4 agosto</t>
  </si>
  <si>
    <t>5 agosto</t>
  </si>
  <si>
    <t>6 agosto</t>
  </si>
  <si>
    <t>7 agosto</t>
  </si>
  <si>
    <t>8 agosto</t>
  </si>
  <si>
    <t>9 agosto</t>
  </si>
  <si>
    <t>10 agosto</t>
  </si>
  <si>
    <t>11 agosto</t>
  </si>
  <si>
    <t>12 agosto</t>
  </si>
  <si>
    <t>13 agosto</t>
  </si>
  <si>
    <t>14 agosto</t>
  </si>
  <si>
    <t>16 agosto</t>
  </si>
  <si>
    <t>17 agosto</t>
  </si>
  <si>
    <t>18 agosto</t>
  </si>
  <si>
    <t>19 agosto</t>
  </si>
  <si>
    <t>Data elaborazione comunicazione</t>
  </si>
  <si>
    <t>Importo richiesto
con la comunicazione
(IC)</t>
  </si>
  <si>
    <t>Importo versato
(IV)</t>
  </si>
  <si>
    <t>Importo residuo
(IC-IV)</t>
  </si>
  <si>
    <t>ISTRUZIONI per la compilazione del foglio "Calcolo debito residuo"</t>
  </si>
  <si>
    <t>ERRORE</t>
  </si>
  <si>
    <t>Utilizzare il foglio "Rateazione" per elaborare il piano di rateazione dell'importo residuo con sanzioni ridotte</t>
  </si>
  <si>
    <t>Comunicazione ricevuta dall'intermediario
tramite avviso telematico</t>
  </si>
  <si>
    <t>Alert rate scadute</t>
  </si>
  <si>
    <t>codice fiscale</t>
  </si>
  <si>
    <t>anno d'imposta</t>
  </si>
  <si>
    <t>Comunicazione degli esiti del controllo automatizzato delle dichiarazioni - definizione agevolata delle rateazioni in corso al 1° gennaio 2023
Calcolo del debito residuo al 1° gennaio 2023 con sanzioni ridotte per le rate che scadono negli anni 2023 e successivi
Articolo 1, commi 155 e 156, della legge 29 dicembre 2022, n. 197 (legge di bilancio 2023)
Circolare dell'Agenzia delle entrate n. 1/E del 13 gennaio 2023</t>
  </si>
  <si>
    <t>I campi evidenziati in giallo devono essere compilati a cura dell'utente, inserendo gli importi desumibili dalla comunicazione degli esiti e dai versamenti effettuati,
in base alle istruzioni di seguito riportate. La compilazione dei campi evidenziati in arancione è facoltativa. I dati già inseriti sono a titolo esemplificativo.</t>
  </si>
  <si>
    <t>codice atto</t>
  </si>
  <si>
    <t>modello</t>
  </si>
  <si>
    <t>N. rata iniziale del piano di rateazione rielaborato</t>
  </si>
  <si>
    <t>Si consiglia di inserire i dati manualmente e di non usare le funzioni copia/incolla</t>
  </si>
  <si>
    <t>In caso di errore, è possibile ripristinare i dati precedentemente inseriti utilizzando la funzione "Annulla" (CTRL+Z) tramite il pulsante in alto a sinistra</t>
  </si>
  <si>
    <t>Interessi (maggiore di zero)</t>
  </si>
  <si>
    <t>A</t>
  </si>
  <si>
    <t>B</t>
  </si>
  <si>
    <t>C</t>
  </si>
  <si>
    <t>D</t>
  </si>
  <si>
    <t>E</t>
  </si>
  <si>
    <t>F</t>
  </si>
  <si>
    <t>Scegliere 'SI' se la comunicazione è stata ricevuta dall'intermediario tramite avviso telematico. Scegliere 'NO' in caso di comunicazione inviata tramite PEC, raccomandata A/R o consegnata dall'ufficio che ha prestato assistenza.</t>
  </si>
  <si>
    <t>Inserire la data (nel formato GG/MM/AAAA) di elaborazione della comunicazione, indicata nella comunicazione stessa; tale data non deve essere superiore alla data di consegna della comunicazione.</t>
  </si>
  <si>
    <t>Indicare la data (nel formato GG/MM/AAAA) in cui il contribuente o l'intermediario ha ricevuto la comunicazione; tale data deve essere compresa tra la data di elaborazione della comunicazione e la data odierna.</t>
  </si>
  <si>
    <t>G</t>
  </si>
  <si>
    <r>
      <t xml:space="preserve">Importo residuo con sanzioni ridotte (totale) </t>
    </r>
    <r>
      <rPr>
        <b/>
        <u/>
        <sz val="11"/>
        <color theme="1"/>
        <rFont val="Calibri"/>
        <family val="2"/>
        <scheme val="minor"/>
      </rPr>
      <t>calcolato dall'utente</t>
    </r>
  </si>
  <si>
    <t>Scegliere 'SI' oppure 'NO' dal menu a tendina</t>
  </si>
  <si>
    <t>Inserire la data di elaborazione indicata nella comunicazione (nel formato GG/MM/AAAA)</t>
  </si>
  <si>
    <t>Indicare la data in cui il contribuente o l'intermediario ha ricevuto la comunicazione (nel formato GG/MM/AAAA)</t>
  </si>
  <si>
    <t>Importo calcolato e inserito autonomamente dall'utente (alternativo al campo 'D')</t>
  </si>
  <si>
    <r>
      <t xml:space="preserve">Sulla base dell'originario piano di rateazione, </t>
    </r>
    <r>
      <rPr>
        <b/>
        <u/>
        <sz val="11"/>
        <color theme="1"/>
        <rFont val="Calibri"/>
        <family val="2"/>
        <scheme val="minor"/>
      </rPr>
      <t>indicare il n. della prima rata non pagata con scadenza nel 2023</t>
    </r>
  </si>
  <si>
    <t>I campi evidenziati in giallo devono essere obbligatoriamente compilati dall'utente (i dati già inseriti sono a titolo esemplificativo).</t>
  </si>
  <si>
    <t>N. complessivo di rate (max 20 rate)</t>
  </si>
  <si>
    <t>Indicare il numero delle rate in cui si vuole rateizzare il debito (comprese le rate già versate o scadute)</t>
  </si>
  <si>
    <t>ISTRUZIONI per la compilazione del foglio "Rateazione"</t>
  </si>
  <si>
    <t>Indicare il numero complessivo delle rate (max 20 rate) in cui si vuole rateizzare il debito residuo con sanzioni ridotte (comprese le rate già versate/scadute). Indicare un valore non superiore a 20 e non inferiore al numero della rata da cui riparte il nuovo piano di rateazione (campo 'F').</t>
  </si>
  <si>
    <t>E' l'importo complessivo del debito residuo da rateizzare (con sanzioni ridotte), riportato dall'omonimo campo del foglio "Calcolo debito residuo". In alternativa, nel caso in cui l'utente abbia già calcolato autonomamente tale importo, può inserirlo nel campo evidenziato in arancione (campo 'E').</t>
  </si>
  <si>
    <r>
      <t xml:space="preserve">Inserire l'importo complessivo dei versamenti rateali eseguiti con codice tributo 9001 entro il 31/12/2022, includendo anche l'importo dell'eventuale rata già scaduta entro la medesima data ma non ancora versata (si ricorda che, per evitare la decadenza dalla rateazione, il versamento della rata scaduta deve essere eseguito, nella misura originariamente prevista e avvalendosi del ravvedimento, entro la scadenza della prima rata successiva; invece, nel caso in cui si tratti della prima rata in assoluto del piano di rateazione, è ammesso solo un "lieve" ritardo, non superiore a 7 giorni).
</t>
    </r>
    <r>
      <rPr>
        <b/>
        <u/>
        <sz val="11"/>
        <color theme="1"/>
        <rFont val="Calibri"/>
        <family val="2"/>
        <scheme val="minor"/>
      </rPr>
      <t>NON INSERIRE ALTRI VERSAMENTI (ES. VERSAMENTI EFFETTUATI CON IL CODICE 9002 OPPURE VERSAMENTI A TITOLO DI RAVVEDIMENTO)</t>
    </r>
  </si>
  <si>
    <t>Importo riportato dall'omonimo campo del foglio 'Calcolo debito residuo' (utilizzato se il campo 'E' è pari a zero)</t>
  </si>
  <si>
    <t>In alternativa al campo 'D', indicare l'importo complessivo del debito residuo da rateizzare (con sanzioni ridotte), calcolato autonomamente dall'utente. L'importo inserito dall'utente nel campo 'E' sarà utilizzato per elaborare il nuovo piano di rateazione, in luogo dell'importo calcolato e riportato automaticamente dal foglio "Calcolo debito residuo". Se compilato deve essere maggiore di zero.</t>
  </si>
  <si>
    <t>CAMPO</t>
  </si>
  <si>
    <t>Indicare il numero della prima rata (non pagata) in scadenza nell'anno 2023 da cui si vuole far ripartire il nuovo piano di rateazione. Il valore indicato deve essere compreso tra 1 e il numero totale di rate (campo 'G') in cui si vuole rateizzare il debito residuo (comprese le rate già versate o scadute).</t>
  </si>
  <si>
    <t>NO</t>
  </si>
  <si>
    <t>Data consegna post proroga estiva (1)</t>
  </si>
  <si>
    <t>30/31 luglio + 30/90 gg (2)</t>
  </si>
  <si>
    <t>Scadenza originaria (3)</t>
  </si>
  <si>
    <t>Scadenza originaria post festivo (4)</t>
  </si>
  <si>
    <t>v. 1.4</t>
  </si>
  <si>
    <t>Somma dei versamenti eseguiti (o da eseguire) entro il 31/12/2022
(non deve essere maggiore o uguale al campo 13 - importo totale comunicazione)</t>
  </si>
  <si>
    <r>
      <t>Se nella comunicazione sono presenti esiti di tardività per versamenti eseguiti con ritardo superiore a 90 giorni rispetto alla scadenza dell'adempimento, inserire l'importo complessivo delle sanzioni dovute a tale titolo</t>
    </r>
    <r>
      <rPr>
        <b/>
        <sz val="11"/>
        <color theme="1"/>
        <rFont val="Calibri"/>
        <family val="2"/>
        <scheme val="minor"/>
      </rPr>
      <t xml:space="preserve"> (inserire l'importo indicato nella comunicazione d'irregolarità come "Sanzione da versare").</t>
    </r>
  </si>
  <si>
    <r>
      <t xml:space="preserve">Se nella comunicazione sono presenti esiti di tardività per versamenti eseguiti con ritardo compreso tra 15 e 90 giorni rispetto alla scadenza dell'adempimento, inserire l'importo complessivo delle sanzioni dovute a tale titolo </t>
    </r>
    <r>
      <rPr>
        <b/>
        <sz val="11"/>
        <color theme="1"/>
        <rFont val="Calibri"/>
        <family val="2"/>
        <scheme val="minor"/>
      </rPr>
      <t>(inserire l'importo indicato nella comunicazione d'irregolarità come "Sanzione da versare").</t>
    </r>
  </si>
  <si>
    <r>
      <t xml:space="preserve">Se nella comunicazione sono presenti esiti di tardività per versamenti eseguiti con ritardo di 14 giorni rispetto alla scadenza dell'adempimento, inserire l'importo complessivo delle sanzioni dovute a tale titolo </t>
    </r>
    <r>
      <rPr>
        <b/>
        <sz val="11"/>
        <color theme="1"/>
        <rFont val="Calibri"/>
        <family val="2"/>
        <scheme val="minor"/>
      </rPr>
      <t>(inserire l'importo indicato nella comunicazione d'irregolarità come "Sanzione da versare").</t>
    </r>
  </si>
  <si>
    <r>
      <t xml:space="preserve">Se nella comunicazione sono presenti esiti di tardività per versamenti eseguiti con ritardo di 13 giorni rispetto alla scadenza dell'adempimento, inserire l'importo complessivo delle sanzioni dovute a tale titolo </t>
    </r>
    <r>
      <rPr>
        <b/>
        <sz val="11"/>
        <color theme="1"/>
        <rFont val="Calibri"/>
        <family val="2"/>
        <scheme val="minor"/>
      </rPr>
      <t>(inserire l'importo indicato nella comunicazione d'irregolarità come "Sanzione da versare").</t>
    </r>
  </si>
  <si>
    <r>
      <t xml:space="preserve">Se nella comunicazione sono presenti esiti di tardività per versamenti eseguiti con ritardo di 12 giorni rispetto alla scadenza dell'adempimento, inserire l'importo complessivo delle sanzioni dovute a tale titolo </t>
    </r>
    <r>
      <rPr>
        <b/>
        <sz val="11"/>
        <color theme="1"/>
        <rFont val="Calibri"/>
        <family val="2"/>
        <scheme val="minor"/>
      </rPr>
      <t>(inserire l'importo indicato nella comunicazione d'irregolarità come "Sanzione da versare").</t>
    </r>
  </si>
  <si>
    <r>
      <t>Se nella comunicazione sono presenti esiti di tardività per versamenti eseguiti con ritardo di 11 giorni rispetto alla scadenza dell'adempimento, inserire l'importo complessivo delle sanzioni dovute a tale titolo</t>
    </r>
    <r>
      <rPr>
        <b/>
        <sz val="11"/>
        <color theme="1"/>
        <rFont val="Calibri"/>
        <family val="2"/>
        <scheme val="minor"/>
      </rPr>
      <t xml:space="preserve"> (inserire l'importo indicato nella comunicazione d'irregolarità come "Sanzione da versare").</t>
    </r>
  </si>
  <si>
    <r>
      <t xml:space="preserve">Se nella comunicazione sono presenti esiti di tardività per versamenti eseguiti con ritardo di 10 giorni rispetto alla scadenza dell'adempimento, inserire l'importo complessivo delle sanzioni dovute a tale titolo </t>
    </r>
    <r>
      <rPr>
        <b/>
        <sz val="11"/>
        <color theme="1"/>
        <rFont val="Calibri"/>
        <family val="2"/>
        <scheme val="minor"/>
      </rPr>
      <t>(inserire l'importo indicato nella comunicazione d'irregolarità come "Sanzione da versare").</t>
    </r>
  </si>
  <si>
    <r>
      <t xml:space="preserve">Se nella comunicazione sono presenti esiti di tardività per versamenti eseguiti con ritardo compreso tra 1 e 9 giorni rispetto alla scadenza dell'adempimento, inserire l'importo complessivo delle sanzioni dovute a tale titolo </t>
    </r>
    <r>
      <rPr>
        <b/>
        <sz val="11"/>
        <color theme="1"/>
        <rFont val="Calibri"/>
        <family val="2"/>
        <scheme val="minor"/>
      </rPr>
      <t>(inserire l'importo indicato nella comunicazione d'irregolarità come "Sanzione da versare").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</si>
</sst>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410]_-;\-* #,##0.00\ [$€-410]_-;_-* &quot;-&quot;??\ [$€-410]_-;_-@_-"/>
    <numFmt numFmtId="165" formatCode="dddd"/>
  </numFmts>
  <fonts count="13" x14ac:knownFonts="1">
    <font>
      <sz val="11"/>
      <color theme="1"/>
      <name val="Calibri"/>
      <family val="2"/>
      <scheme val="minor"/>
    </font>
    <font>
      <b/>
      <sz val="11"/>
      <color theme="1"/>
      <name val="Calibri"/>
      <family val="2"/>
      <scheme val="minor"/>
    </font>
    <font>
      <sz val="11"/>
      <color theme="1"/>
      <name val="Calibri"/>
      <family val="2"/>
    </font>
    <font>
      <b/>
      <sz val="12"/>
      <color theme="1"/>
      <name val="Calibri"/>
      <family val="2"/>
      <scheme val="minor"/>
    </font>
    <font>
      <b/>
      <u/>
      <sz val="11"/>
      <color theme="1"/>
      <name val="Calibri"/>
      <family val="2"/>
      <scheme val="minor"/>
    </font>
    <font>
      <b/>
      <sz val="14"/>
      <color rgb="FFFF0000"/>
      <name val="Calibri"/>
      <family val="2"/>
      <scheme val="minor"/>
    </font>
    <font>
      <b/>
      <sz val="18"/>
      <color theme="1"/>
      <name val="Calibri"/>
      <family val="2"/>
      <scheme val="minor"/>
    </font>
    <font>
      <sz val="10"/>
      <color theme="1"/>
      <name val="Calibri"/>
      <family val="2"/>
      <scheme val="minor"/>
    </font>
    <font>
      <b/>
      <sz val="14"/>
      <color theme="1"/>
      <name val="Calibri"/>
      <family val="2"/>
      <scheme val="minor"/>
    </font>
    <font>
      <b/>
      <sz val="12"/>
      <color rgb="FFFF0000"/>
      <name val="Calibri"/>
      <family val="2"/>
      <scheme val="minor"/>
    </font>
    <font>
      <b/>
      <sz val="10"/>
      <color theme="1"/>
      <name val="Calibri"/>
      <family val="2"/>
      <scheme val="minor"/>
    </font>
    <font>
      <i/>
      <sz val="12"/>
      <color theme="1"/>
      <name val="Calibri"/>
      <family val="2"/>
      <scheme val="minor"/>
    </font>
    <font>
      <i/>
      <sz val="11"/>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16">
    <xf numFmtId="0" fontId="0" fillId="0" borderId="0" xfId="0"/>
    <xf numFmtId="164" fontId="0" fillId="0" borderId="1" xfId="0" applyNumberFormat="1" applyBorder="1" applyAlignment="1">
      <alignment horizontal="right" vertical="center"/>
    </xf>
    <xf numFmtId="164" fontId="1" fillId="0" borderId="1" xfId="0" applyNumberFormat="1" applyFont="1" applyBorder="1" applyAlignment="1">
      <alignment horizontal="righ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right" vertical="center"/>
    </xf>
    <xf numFmtId="0" fontId="0" fillId="0" borderId="0" xfId="0" applyAlignment="1">
      <alignment vertical="center"/>
    </xf>
    <xf numFmtId="0" fontId="1" fillId="0" borderId="1" xfId="0" applyFont="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14" fontId="0" fillId="0" borderId="0" xfId="0" applyNumberFormat="1" applyAlignment="1">
      <alignment horizontal="center" vertical="center"/>
    </xf>
    <xf numFmtId="165" fontId="0" fillId="0" borderId="0" xfId="0" applyNumberFormat="1" applyAlignment="1">
      <alignment horizontal="center" vertical="center"/>
    </xf>
    <xf numFmtId="1" fontId="0" fillId="0" borderId="0" xfId="0" applyNumberFormat="1" applyAlignment="1">
      <alignment horizontal="center" vertical="center"/>
    </xf>
    <xf numFmtId="14" fontId="1" fillId="0" borderId="0" xfId="0" applyNumberFormat="1" applyFont="1" applyAlignment="1">
      <alignment horizontal="center" vertical="center"/>
    </xf>
    <xf numFmtId="49" fontId="1" fillId="0" borderId="0" xfId="0" applyNumberFormat="1" applyFont="1" applyAlignment="1">
      <alignment horizontal="center" vertical="center"/>
    </xf>
    <xf numFmtId="49" fontId="0" fillId="0" borderId="0" xfId="0" applyNumberFormat="1" applyAlignment="1">
      <alignment horizontal="center" vertical="center"/>
    </xf>
    <xf numFmtId="164" fontId="1" fillId="0" borderId="0" xfId="0" applyNumberFormat="1" applyFont="1"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165" fontId="0" fillId="0" borderId="1" xfId="0" applyNumberFormat="1" applyBorder="1" applyAlignment="1">
      <alignment horizontal="center" vertical="center"/>
    </xf>
    <xf numFmtId="164" fontId="0" fillId="2" borderId="1" xfId="0" applyNumberFormat="1" applyFill="1" applyBorder="1" applyAlignment="1" applyProtection="1">
      <alignment horizontal="right" vertical="center"/>
      <protection locked="0"/>
    </xf>
    <xf numFmtId="164" fontId="1" fillId="2" borderId="1" xfId="0" applyNumberFormat="1" applyFont="1" applyFill="1" applyBorder="1" applyAlignment="1" applyProtection="1">
      <alignment horizontal="right" vertical="center"/>
      <protection locked="0"/>
    </xf>
    <xf numFmtId="164" fontId="1" fillId="4" borderId="1" xfId="0" applyNumberFormat="1" applyFont="1" applyFill="1" applyBorder="1" applyAlignment="1">
      <alignment horizontal="right" vertical="center"/>
    </xf>
    <xf numFmtId="0" fontId="0" fillId="0" borderId="0" xfId="0" applyAlignment="1" applyProtection="1">
      <alignment horizontal="center" vertical="center"/>
      <protection hidden="1"/>
    </xf>
    <xf numFmtId="0" fontId="1" fillId="0" borderId="0" xfId="0" applyFont="1" applyAlignment="1" applyProtection="1">
      <alignment horizontal="center" vertical="center"/>
      <protection hidden="1"/>
    </xf>
    <xf numFmtId="165" fontId="0" fillId="0" borderId="0" xfId="0" applyNumberFormat="1" applyAlignment="1" applyProtection="1">
      <alignment horizontal="center" vertical="center"/>
      <protection hidden="1"/>
    </xf>
    <xf numFmtId="164" fontId="0" fillId="0" borderId="0" xfId="0" applyNumberFormat="1" applyAlignment="1" applyProtection="1">
      <alignment horizontal="center" vertical="center"/>
      <protection hidden="1"/>
    </xf>
    <xf numFmtId="0" fontId="1" fillId="0" borderId="1" xfId="0" applyFont="1" applyBorder="1" applyAlignment="1">
      <alignment horizontal="center" vertical="center"/>
    </xf>
    <xf numFmtId="0" fontId="6" fillId="2" borderId="1" xfId="0" applyFont="1" applyFill="1" applyBorder="1" applyAlignment="1" applyProtection="1">
      <alignment horizontal="center" vertical="center"/>
      <protection locked="0"/>
    </xf>
    <xf numFmtId="0" fontId="0" fillId="5" borderId="0" xfId="0" applyFont="1" applyFill="1" applyAlignment="1">
      <alignment vertical="center"/>
    </xf>
    <xf numFmtId="0" fontId="0" fillId="5" borderId="0" xfId="0" applyFill="1" applyAlignment="1">
      <alignment vertical="center"/>
    </xf>
    <xf numFmtId="0" fontId="1" fillId="0" borderId="4"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protection hidden="1"/>
    </xf>
    <xf numFmtId="14" fontId="0" fillId="0" borderId="8" xfId="0" applyNumberFormat="1" applyBorder="1" applyAlignment="1" applyProtection="1">
      <alignment horizontal="center" vertical="center"/>
      <protection hidden="1"/>
    </xf>
    <xf numFmtId="165" fontId="0" fillId="0" borderId="9" xfId="0" applyNumberFormat="1" applyBorder="1" applyAlignment="1" applyProtection="1">
      <alignment horizontal="center" vertical="center"/>
      <protection hidden="1"/>
    </xf>
    <xf numFmtId="0" fontId="0" fillId="5" borderId="0" xfId="0" applyFont="1" applyFill="1" applyBorder="1" applyAlignment="1">
      <alignment horizontal="left" vertical="center"/>
    </xf>
    <xf numFmtId="0" fontId="0" fillId="5" borderId="0" xfId="0" applyFill="1" applyBorder="1" applyAlignment="1">
      <alignment horizontal="left" vertical="center" wrapText="1"/>
    </xf>
    <xf numFmtId="0" fontId="1" fillId="0" borderId="0" xfId="0" applyFont="1" applyBorder="1" applyAlignment="1">
      <alignment horizontal="center" vertical="center" wrapText="1"/>
    </xf>
    <xf numFmtId="164" fontId="0" fillId="0" borderId="0" xfId="0" applyNumberFormat="1" applyBorder="1" applyAlignment="1">
      <alignment horizontal="right" vertical="center"/>
    </xf>
    <xf numFmtId="0" fontId="5" fillId="5" borderId="0" xfId="0" applyFont="1" applyFill="1" applyBorder="1" applyAlignment="1">
      <alignment horizontal="center" vertical="center"/>
    </xf>
    <xf numFmtId="0" fontId="1" fillId="5" borderId="0" xfId="0" applyFont="1" applyFill="1" applyBorder="1" applyAlignment="1">
      <alignment horizontal="center" vertical="center"/>
    </xf>
    <xf numFmtId="0" fontId="1" fillId="0" borderId="10"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1" fillId="0" borderId="4"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13" xfId="0" applyFont="1" applyBorder="1" applyAlignment="1">
      <alignment horizontal="center" vertical="center" wrapText="1"/>
    </xf>
    <xf numFmtId="14" fontId="0" fillId="0" borderId="4" xfId="0" applyNumberFormat="1" applyBorder="1" applyAlignment="1" applyProtection="1">
      <alignment horizontal="center" vertical="center"/>
      <protection hidden="1"/>
    </xf>
    <xf numFmtId="165" fontId="0" fillId="0" borderId="5" xfId="0" applyNumberFormat="1" applyBorder="1" applyAlignment="1" applyProtection="1">
      <alignment horizontal="center" vertical="center"/>
      <protection hidden="1"/>
    </xf>
    <xf numFmtId="14" fontId="0" fillId="0" borderId="6" xfId="0" applyNumberFormat="1" applyBorder="1" applyAlignment="1" applyProtection="1">
      <alignment horizontal="center" vertical="center"/>
      <protection hidden="1"/>
    </xf>
    <xf numFmtId="165" fontId="0" fillId="0" borderId="7" xfId="0" applyNumberFormat="1" applyBorder="1" applyAlignment="1" applyProtection="1">
      <alignment horizontal="center" vertical="center"/>
      <protection hidden="1"/>
    </xf>
    <xf numFmtId="0" fontId="1" fillId="0" borderId="0" xfId="0" applyFont="1" applyBorder="1" applyAlignment="1">
      <alignment horizontal="center" vertical="center"/>
    </xf>
    <xf numFmtId="0" fontId="7" fillId="0" borderId="0" xfId="0" applyFont="1" applyAlignment="1">
      <alignment vertical="center"/>
    </xf>
    <xf numFmtId="0" fontId="7" fillId="0" borderId="0" xfId="0" applyFont="1" applyAlignment="1">
      <alignment vertical="center" wrapText="1"/>
    </xf>
    <xf numFmtId="0" fontId="7" fillId="0" borderId="0" xfId="0" applyFont="1" applyBorder="1" applyAlignment="1">
      <alignment horizontal="center" vertical="center"/>
    </xf>
    <xf numFmtId="0" fontId="0" fillId="0" borderId="1" xfId="0" applyBorder="1" applyAlignment="1">
      <alignment horizontal="left" vertical="center"/>
    </xf>
    <xf numFmtId="14" fontId="0" fillId="3" borderId="8" xfId="0" applyNumberFormat="1" applyFill="1" applyBorder="1" applyAlignment="1" applyProtection="1">
      <alignment horizontal="center" vertical="center"/>
      <protection hidden="1"/>
    </xf>
    <xf numFmtId="165" fontId="0" fillId="3" borderId="9" xfId="0" applyNumberFormat="1" applyFill="1" applyBorder="1" applyAlignment="1" applyProtection="1">
      <alignment horizontal="center" vertical="center"/>
      <protection hidden="1"/>
    </xf>
    <xf numFmtId="165" fontId="0" fillId="3" borderId="14" xfId="0" applyNumberFormat="1" applyFill="1" applyBorder="1" applyAlignment="1" applyProtection="1">
      <alignment horizontal="center" vertical="center"/>
      <protection hidden="1"/>
    </xf>
    <xf numFmtId="14" fontId="0" fillId="3" borderId="14" xfId="0" applyNumberFormat="1" applyFill="1" applyBorder="1" applyAlignment="1" applyProtection="1">
      <alignment horizontal="center" vertical="center"/>
      <protection hidden="1"/>
    </xf>
    <xf numFmtId="0" fontId="0" fillId="0" borderId="1" xfId="0" applyBorder="1" applyAlignment="1">
      <alignment horizontal="left" vertical="center"/>
    </xf>
    <xf numFmtId="14" fontId="8" fillId="2" borderId="1" xfId="0" applyNumberFormat="1" applyFont="1" applyFill="1" applyBorder="1" applyAlignment="1" applyProtection="1">
      <alignment horizontal="center" vertical="center"/>
      <protection locked="0"/>
    </xf>
    <xf numFmtId="1" fontId="8" fillId="2" borderId="1" xfId="0" applyNumberFormat="1" applyFont="1" applyFill="1" applyBorder="1" applyAlignment="1" applyProtection="1">
      <alignment vertical="center"/>
      <protection locked="0"/>
    </xf>
    <xf numFmtId="14" fontId="0" fillId="0" borderId="0" xfId="0" applyNumberFormat="1" applyAlignment="1">
      <alignment vertical="center"/>
    </xf>
    <xf numFmtId="0" fontId="1" fillId="0" borderId="0" xfId="0" applyFont="1" applyAlignment="1">
      <alignment horizontal="right" vertical="center"/>
    </xf>
    <xf numFmtId="0" fontId="1" fillId="0" borderId="0" xfId="0" applyFont="1" applyBorder="1" applyAlignment="1">
      <alignment horizontal="right" vertical="center"/>
    </xf>
    <xf numFmtId="0" fontId="1" fillId="0" borderId="0" xfId="0" applyFont="1" applyAlignment="1">
      <alignment vertical="center"/>
    </xf>
    <xf numFmtId="0" fontId="1" fillId="0" borderId="11" xfId="0" applyFont="1" applyBorder="1" applyAlignment="1">
      <alignment horizontal="center" vertical="center"/>
    </xf>
    <xf numFmtId="0" fontId="1" fillId="0" borderId="0" xfId="0" applyFont="1" applyFill="1" applyBorder="1" applyAlignment="1">
      <alignment horizontal="center"/>
    </xf>
    <xf numFmtId="0" fontId="1" fillId="0" borderId="1" xfId="0" applyNumberFormat="1" applyFont="1" applyFill="1" applyBorder="1" applyAlignment="1">
      <alignment horizontal="center" vertical="center"/>
    </xf>
    <xf numFmtId="49" fontId="1" fillId="6" borderId="15" xfId="0" applyNumberFormat="1" applyFont="1" applyFill="1" applyBorder="1" applyAlignment="1" applyProtection="1">
      <alignment horizontal="left" vertical="center"/>
      <protection locked="0"/>
    </xf>
    <xf numFmtId="49" fontId="1" fillId="6" borderId="1" xfId="0" applyNumberFormat="1" applyFont="1" applyFill="1" applyBorder="1" applyAlignment="1" applyProtection="1">
      <alignment horizontal="center" vertical="center"/>
      <protection locked="0"/>
    </xf>
    <xf numFmtId="1" fontId="1" fillId="6" borderId="1" xfId="0" applyNumberFormat="1" applyFont="1" applyFill="1" applyBorder="1" applyAlignment="1" applyProtection="1">
      <alignment horizontal="center" vertical="center"/>
      <protection locked="0"/>
    </xf>
    <xf numFmtId="0" fontId="1" fillId="0" borderId="1" xfId="0" applyFont="1" applyBorder="1" applyAlignment="1">
      <alignment horizontal="center" vertical="center"/>
    </xf>
    <xf numFmtId="0" fontId="1" fillId="0" borderId="3" xfId="0" applyFont="1" applyFill="1" applyBorder="1" applyAlignment="1">
      <alignment horizontal="center"/>
    </xf>
    <xf numFmtId="0" fontId="1" fillId="0" borderId="1" xfId="0" applyNumberFormat="1" applyFont="1" applyFill="1" applyBorder="1" applyAlignment="1">
      <alignment vertical="center"/>
    </xf>
    <xf numFmtId="49" fontId="10" fillId="6" borderId="1" xfId="0" applyNumberFormat="1" applyFont="1" applyFill="1" applyBorder="1" applyAlignment="1" applyProtection="1">
      <alignment vertical="center"/>
      <protection locked="0"/>
    </xf>
    <xf numFmtId="0" fontId="1" fillId="0" borderId="0" xfId="0" applyFont="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left" vertical="center" wrapText="1"/>
    </xf>
    <xf numFmtId="164" fontId="3" fillId="4" borderId="1" xfId="0" applyNumberFormat="1" applyFont="1" applyFill="1" applyBorder="1" applyAlignment="1" applyProtection="1">
      <alignment horizontal="right" vertical="center"/>
    </xf>
    <xf numFmtId="164" fontId="3" fillId="6" borderId="1" xfId="0" applyNumberFormat="1" applyFont="1" applyFill="1" applyBorder="1" applyAlignment="1" applyProtection="1">
      <alignment horizontal="right" vertical="center"/>
      <protection locked="0"/>
    </xf>
    <xf numFmtId="4" fontId="0" fillId="0" borderId="17" xfId="0" applyNumberFormat="1" applyBorder="1" applyAlignment="1" applyProtection="1">
      <alignment horizontal="center" vertical="center"/>
      <protection hidden="1"/>
    </xf>
    <xf numFmtId="0" fontId="0" fillId="0" borderId="0" xfId="0" applyNumberFormat="1" applyAlignment="1" applyProtection="1">
      <alignment horizontal="center" vertical="center"/>
      <protection hidden="1"/>
    </xf>
    <xf numFmtId="14" fontId="0" fillId="0" borderId="0" xfId="0" applyNumberFormat="1" applyAlignment="1" applyProtection="1">
      <alignment horizontal="center" vertical="center"/>
      <protection hidden="1"/>
    </xf>
    <xf numFmtId="1" fontId="0" fillId="0" borderId="0" xfId="0" applyNumberFormat="1" applyAlignment="1">
      <alignment vertical="center"/>
    </xf>
    <xf numFmtId="14" fontId="1" fillId="0" borderId="10" xfId="0" applyNumberFormat="1" applyFont="1" applyBorder="1" applyAlignment="1" applyProtection="1">
      <alignment horizontal="center" vertical="center"/>
      <protection hidden="1"/>
    </xf>
    <xf numFmtId="14" fontId="0" fillId="0" borderId="12" xfId="0" applyNumberFormat="1" applyBorder="1" applyAlignment="1" applyProtection="1">
      <alignment horizontal="center" vertical="center"/>
      <protection hidden="1"/>
    </xf>
    <xf numFmtId="0" fontId="8" fillId="0" borderId="0" xfId="0" applyFont="1" applyAlignment="1">
      <alignment vertical="center"/>
    </xf>
    <xf numFmtId="0" fontId="11"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vertical="center"/>
    </xf>
    <xf numFmtId="0" fontId="1" fillId="0" borderId="0" xfId="0" applyFont="1" applyAlignment="1">
      <alignment horizontal="center" vertical="center"/>
    </xf>
    <xf numFmtId="0" fontId="8" fillId="0" borderId="0" xfId="0" applyFont="1" applyAlignment="1">
      <alignment horizontal="center" vertical="center"/>
    </xf>
    <xf numFmtId="0" fontId="0" fillId="0" borderId="1" xfId="0" applyBorder="1" applyAlignment="1">
      <alignment horizontal="left" vertical="center"/>
    </xf>
    <xf numFmtId="0" fontId="1" fillId="0" borderId="1" xfId="0" applyFont="1" applyBorder="1" applyAlignment="1">
      <alignment horizontal="center" vertical="center"/>
    </xf>
    <xf numFmtId="0" fontId="0" fillId="0" borderId="1" xfId="0" applyBorder="1" applyAlignment="1">
      <alignment horizontal="left" vertical="center" wrapText="1"/>
    </xf>
    <xf numFmtId="0" fontId="9" fillId="0" borderId="3"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7" fillId="0" borderId="0" xfId="0" applyFont="1" applyAlignment="1">
      <alignment horizontal="left" vertical="center" wrapText="1"/>
    </xf>
    <xf numFmtId="0" fontId="0" fillId="5" borderId="1" xfId="0" applyFill="1" applyBorder="1" applyAlignment="1">
      <alignment horizontal="left" vertical="center" wrapText="1"/>
    </xf>
    <xf numFmtId="0" fontId="0" fillId="5" borderId="1" xfId="0" applyFont="1" applyFill="1" applyBorder="1" applyAlignment="1">
      <alignment horizontal="left" vertical="center"/>
    </xf>
    <xf numFmtId="0" fontId="1" fillId="3" borderId="1"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0" fillId="0" borderId="1" xfId="0" applyFont="1" applyBorder="1" applyAlignment="1">
      <alignment horizontal="left" vertical="center" wrapText="1"/>
    </xf>
    <xf numFmtId="164" fontId="0" fillId="0" borderId="0" xfId="0" applyNumberFormat="1" applyAlignment="1">
      <alignment vertical="center"/>
    </xf>
  </cellXfs>
  <cellStyles count="1">
    <cellStyle name="Normale" xfId="0" builtinId="0"/>
  </cellStyles>
  <dxfs count="17">
    <dxf>
      <fill>
        <patternFill>
          <bgColor rgb="FFFFC000"/>
        </patternFill>
      </fill>
    </dxf>
    <dxf>
      <fill>
        <patternFill>
          <bgColor rgb="FFFFC000"/>
        </patternFill>
      </fill>
    </dxf>
    <dxf>
      <fill>
        <patternFill>
          <bgColor rgb="FFFFC000"/>
        </patternFill>
      </fill>
    </dxf>
    <dxf>
      <font>
        <color theme="0"/>
      </font>
    </dxf>
    <dxf>
      <font>
        <color rgb="FF92D050"/>
      </font>
    </dxf>
    <dxf>
      <font>
        <b/>
        <i val="0"/>
        <color rgb="FFFF0000"/>
      </font>
      <fill>
        <patternFill patternType="none">
          <bgColor auto="1"/>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none">
          <bgColor auto="1"/>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none">
          <bgColor auto="1"/>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none">
          <bgColor auto="1"/>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none">
          <bgColor auto="1"/>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none">
          <bgColor auto="1"/>
        </patternFill>
      </fill>
      <border>
        <left style="thin">
          <color rgb="FFFF0000"/>
        </left>
        <right style="thin">
          <color rgb="FFFF0000"/>
        </right>
        <top style="thin">
          <color rgb="FFFF0000"/>
        </top>
        <bottom style="thin">
          <color rgb="FFFF0000"/>
        </bottom>
        <vertical/>
        <horizontal/>
      </border>
    </dxf>
    <dxf>
      <font>
        <color theme="0"/>
      </font>
    </dxf>
    <dxf>
      <font>
        <color theme="0"/>
      </font>
      <fill>
        <patternFill>
          <bgColor theme="0"/>
        </patternFill>
      </fill>
    </dxf>
    <dxf>
      <font>
        <color theme="0"/>
      </font>
      <fill>
        <patternFill>
          <bgColor theme="0"/>
        </patternFill>
      </fill>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3</xdr:row>
      <xdr:rowOff>104772</xdr:rowOff>
    </xdr:from>
    <xdr:to>
      <xdr:col>19</xdr:col>
      <xdr:colOff>9525</xdr:colOff>
      <xdr:row>49</xdr:row>
      <xdr:rowOff>47625</xdr:rowOff>
    </xdr:to>
    <xdr:sp macro="" textlink="">
      <xdr:nvSpPr>
        <xdr:cNvPr id="2" name="CasellaDiTesto 1"/>
        <xdr:cNvSpPr txBox="1"/>
      </xdr:nvSpPr>
      <xdr:spPr>
        <a:xfrm>
          <a:off x="190500" y="628647"/>
          <a:ext cx="11477625" cy="87058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200" b="1">
              <a:solidFill>
                <a:schemeClr val="tx1"/>
              </a:solidFill>
            </a:rPr>
            <a:t>ISTRUZIONI e AVVERTENZE</a:t>
          </a:r>
        </a:p>
        <a:p>
          <a:r>
            <a:rPr lang="it-IT" sz="1200">
              <a:solidFill>
                <a:schemeClr val="tx1"/>
              </a:solidFill>
              <a:effectLst/>
              <a:latin typeface="+mn-lt"/>
              <a:ea typeface="+mn-ea"/>
              <a:cs typeface="+mn-cs"/>
            </a:rPr>
            <a:t>I fogli contenuti in questa cartella sono uno strumento di ausilio per coloro che intendono usufruire della definizione agevolata delle somme dovute a seguito del controllo automatizzato delle dichiarazioni, con riferimento ai pagamenti rateali in corso, prevista dall’articolo 1, commi 155 e 156, della legge 29 dicembre 2022, n. 197 (legge di bilancio 2023).</a:t>
          </a:r>
        </a:p>
        <a:p>
          <a:r>
            <a:rPr lang="it-IT" sz="1200">
              <a:solidFill>
                <a:schemeClr val="tx1"/>
              </a:solidFill>
              <a:effectLst/>
              <a:latin typeface="+mn-lt"/>
              <a:ea typeface="+mn-ea"/>
              <a:cs typeface="+mn-cs"/>
            </a:rPr>
            <a:t>Le richiamate disposizioni prevedono che le somme dovute a seguito del controllo automatizzato delle dichiarazioni, il cui pagamento rateale sia ancora regolarmente in corso al 1° gennaio 2023, possano essere definite con il pagamento del debito residuo a titolo di imposte e contributi previdenziali, interessi e somme aggiuntive. Le sanzioni, invece, sono dovute nella misura del 3 per cento sulle imposte residue non versate o versate in ritardo.</a:t>
          </a:r>
        </a:p>
        <a:p>
          <a:r>
            <a:rPr lang="it-IT" sz="1200">
              <a:solidFill>
                <a:schemeClr val="tx1"/>
              </a:solidFill>
              <a:effectLst/>
              <a:latin typeface="+mn-lt"/>
              <a:ea typeface="+mn-ea"/>
              <a:cs typeface="+mn-cs"/>
            </a:rPr>
            <a:t>Per perfezionare la definizione agevolata, il contribuente deve proseguire e completare il pagamento rateale delle somme residue al 1° gennaio 2023 (con sanzioni ridotte) rispettando l’originario piano di rateazione, oppure beneficiando dell’estensione della dilazione fino a venti rate (cfr. comma 159 del richiamato articolo 1 della legge di bilancio 2023).</a:t>
          </a:r>
        </a:p>
        <a:p>
          <a:r>
            <a:rPr lang="it-IT" sz="1200">
              <a:solidFill>
                <a:schemeClr val="tx1"/>
              </a:solidFill>
              <a:effectLst/>
              <a:latin typeface="+mn-lt"/>
              <a:ea typeface="+mn-ea"/>
              <a:cs typeface="+mn-cs"/>
            </a:rPr>
            <a:t>Il foglio denominato “Calcolo debito residuo” supporta l'utente nella determinazione del debito residuo al 1° gennaio 2023 (con sanzioni ridotte). A tal fine, nelle celle evidenziate in giallo del citato foglio è necessario indicare:</a:t>
          </a:r>
        </a:p>
        <a:p>
          <a:pPr marL="171450" lvl="0" indent="-171450">
            <a:buFont typeface="Wingdings" panose="05000000000000000000" pitchFamily="2" charset="2"/>
            <a:buChar char="§"/>
          </a:pPr>
          <a:r>
            <a:rPr lang="it-IT" sz="1200" u="sng">
              <a:solidFill>
                <a:schemeClr val="tx1"/>
              </a:solidFill>
              <a:effectLst/>
              <a:latin typeface="+mn-lt"/>
              <a:ea typeface="+mn-ea"/>
              <a:cs typeface="+mn-cs"/>
            </a:rPr>
            <a:t>alle righe da 1 a 12</a:t>
          </a:r>
          <a:r>
            <a:rPr lang="it-IT" sz="1200">
              <a:solidFill>
                <a:schemeClr val="tx1"/>
              </a:solidFill>
              <a:effectLst/>
              <a:latin typeface="+mn-lt"/>
              <a:ea typeface="+mn-ea"/>
              <a:cs typeface="+mn-cs"/>
            </a:rPr>
            <a:t>, le somme richieste con la comunicazione d’irregolarità, distinte nelle varie componenti in base a quanto indicato nella stessa comunicazione (imposta, interessi, sanzioni, contributi e relative somme aggiuntive). In particolare, le sanzioni devono essere distinte in base alla relativa percentuale originaria (pari al 10% in caso di versamento</a:t>
          </a:r>
          <a:r>
            <a:rPr lang="it-IT" sz="1200" baseline="0">
              <a:solidFill>
                <a:schemeClr val="tx1"/>
              </a:solidFill>
              <a:effectLst/>
              <a:latin typeface="+mn-lt"/>
              <a:ea typeface="+mn-ea"/>
              <a:cs typeface="+mn-cs"/>
            </a:rPr>
            <a:t> omesso o eseguito con ritardo superiore a 90 giorni, inferiore al 10% in caso di versamento eseguito con ritardo non superiore a 90 giorni</a:t>
          </a:r>
          <a:r>
            <a:rPr lang="it-IT" sz="1200">
              <a:solidFill>
                <a:schemeClr val="tx1"/>
              </a:solidFill>
              <a:effectLst/>
              <a:latin typeface="+mn-lt"/>
              <a:ea typeface="+mn-ea"/>
              <a:cs typeface="+mn-cs"/>
            </a:rPr>
            <a:t>), in modo che venga effettuata correttamente la riduzione al 3% delle sanzioni residue non versate.</a:t>
          </a:r>
          <a:r>
            <a:rPr lang="it-IT" sz="1200" baseline="0">
              <a:solidFill>
                <a:schemeClr val="tx1"/>
              </a:solidFill>
              <a:effectLst/>
              <a:latin typeface="+mn-lt"/>
              <a:ea typeface="+mn-ea"/>
              <a:cs typeface="+mn-cs"/>
            </a:rPr>
            <a:t> </a:t>
          </a:r>
          <a:r>
            <a:rPr lang="it-IT" sz="1200" b="1" baseline="0">
              <a:solidFill>
                <a:schemeClr val="tx1"/>
              </a:solidFill>
              <a:effectLst/>
              <a:latin typeface="+mn-lt"/>
              <a:ea typeface="+mn-ea"/>
              <a:cs typeface="+mn-cs"/>
            </a:rPr>
            <a:t>Le sanzioni devono essere riportate per l'importo residuo da versare indicato nella comunicazione ("Sanzione da versare");</a:t>
          </a:r>
          <a:endParaRPr lang="it-IT" sz="1200" b="1">
            <a:solidFill>
              <a:schemeClr val="tx1"/>
            </a:solidFill>
            <a:effectLst/>
            <a:latin typeface="+mn-lt"/>
            <a:ea typeface="+mn-ea"/>
            <a:cs typeface="+mn-cs"/>
          </a:endParaRPr>
        </a:p>
        <a:p>
          <a:pPr marL="171450" lvl="0" indent="-171450">
            <a:buFont typeface="Wingdings" panose="05000000000000000000" pitchFamily="2" charset="2"/>
            <a:buChar char="§"/>
          </a:pPr>
          <a:r>
            <a:rPr lang="it-IT" sz="1200" u="sng">
              <a:solidFill>
                <a:schemeClr val="tx1"/>
              </a:solidFill>
              <a:effectLst/>
              <a:latin typeface="+mn-lt"/>
              <a:ea typeface="+mn-ea"/>
              <a:cs typeface="+mn-cs"/>
            </a:rPr>
            <a:t>al rigo 14</a:t>
          </a:r>
          <a:r>
            <a:rPr lang="it-IT" sz="1200">
              <a:solidFill>
                <a:schemeClr val="tx1"/>
              </a:solidFill>
              <a:effectLst/>
              <a:latin typeface="+mn-lt"/>
              <a:ea typeface="+mn-ea"/>
              <a:cs typeface="+mn-cs"/>
            </a:rPr>
            <a:t>, l’ammontare dei versamenti rateali effettuati tramite modello F24 (codice tributo 9001) fino al 31 dicembre 2022, includendo anche l’ammontare delle eventuali rate scadute entro la medesima data, per le quali il contribuente sia ancora in tempo per effettuare (ovvero abbia già effettuato) il pagamento entro la scadenza della rata successiva (oppure, in caso di prima rata, entro i 7 giorni successivi alla scadenza). Infatti, è possibile usufruire della riduzione delle sanzioni solo con riferimento alla quota che residua al 1° gennaio 2023 e quindi è necessario che siano già stati effettuati, per l’importo comprensivo della sanzione nella misura originaria, i pagamenti rateali dovuti entro il 31 dicembre 2022, ovvero che gli stessi siano effettuati entro la scadenza della rata successiva (oppure, in caso di prima rata, entro i 7 giorni successivi alla scadenza).</a:t>
          </a:r>
        </a:p>
        <a:p>
          <a:pPr marL="0" marR="0" lvl="0" indent="0" defTabSz="914400" eaLnBrk="1" fontAlgn="auto" latinLnBrk="0" hangingPunct="1">
            <a:lnSpc>
              <a:spcPct val="100000"/>
            </a:lnSpc>
            <a:spcBef>
              <a:spcPts val="0"/>
            </a:spcBef>
            <a:spcAft>
              <a:spcPts val="0"/>
            </a:spcAft>
            <a:buClrTx/>
            <a:buSzTx/>
            <a:buFontTx/>
            <a:buNone/>
            <a:tabLst/>
            <a:defRPr/>
          </a:pPr>
          <a:r>
            <a:rPr lang="it-IT" sz="1200">
              <a:solidFill>
                <a:schemeClr val="tx1"/>
              </a:solidFill>
              <a:effectLst/>
              <a:latin typeface="+mn-lt"/>
              <a:ea typeface="+mn-ea"/>
              <a:cs typeface="+mn-cs"/>
            </a:rPr>
            <a:t>Nel foglio denominato “Calcolo debito residuo”, nelle celle evidenziate in arancione, è possibile indicare alcuni dati identificativi della comunicazione d’irregolarità oggetto della definizione, che verranno riportati anche nel foglio “Rateazione”.</a:t>
          </a:r>
          <a:endParaRPr lang="it-IT" sz="1200">
            <a:solidFill>
              <a:schemeClr val="tx1"/>
            </a:solidFill>
            <a:effectLst/>
          </a:endParaRPr>
        </a:p>
        <a:p>
          <a:r>
            <a:rPr lang="it-IT" sz="1200">
              <a:solidFill>
                <a:schemeClr val="tx1"/>
              </a:solidFill>
              <a:effectLst/>
              <a:latin typeface="+mn-lt"/>
              <a:ea typeface="+mn-ea"/>
              <a:cs typeface="+mn-cs"/>
            </a:rPr>
            <a:t>L’ammontare del debito residuo al 1° gennaio 2023 (con sanzioni ridotte) viene riportato nel foglio “Rateazione” (nella cella evidenziata in verde), per assistere l’utente nella suddivisione di tale somma nel numero di rate prescelto, nella determinazione dell’importo di ciascuna di esse e dei relativi interessi da rateazione.</a:t>
          </a:r>
        </a:p>
        <a:p>
          <a:r>
            <a:rPr lang="it-IT" sz="1200">
              <a:solidFill>
                <a:schemeClr val="tx1"/>
              </a:solidFill>
              <a:effectLst/>
              <a:latin typeface="+mn-lt"/>
              <a:ea typeface="+mn-ea"/>
              <a:cs typeface="+mn-cs"/>
            </a:rPr>
            <a:t>A tal fine, è necessario che l’utente indichi nelle apposite celle evidenziate in giallo del citato foglio:</a:t>
          </a:r>
        </a:p>
        <a:p>
          <a:pPr marL="171450" lvl="0" indent="-171450">
            <a:buFont typeface="Wingdings" panose="05000000000000000000" pitchFamily="2" charset="2"/>
            <a:buChar char="§"/>
          </a:pPr>
          <a:r>
            <a:rPr lang="it-IT" sz="1200">
              <a:solidFill>
                <a:schemeClr val="tx1"/>
              </a:solidFill>
              <a:effectLst/>
              <a:latin typeface="+mn-lt"/>
              <a:ea typeface="+mn-ea"/>
              <a:cs typeface="+mn-cs"/>
            </a:rPr>
            <a:t>la modalità con cui è stata recapitata la comunicazione. In particolare, nell’apposita cella, dovrà scegliere dal menu a tendina:</a:t>
          </a:r>
        </a:p>
        <a:p>
          <a:pPr marL="228600" lvl="0" indent="-228600">
            <a:buFont typeface="+mj-lt"/>
            <a:buAutoNum type="alphaLcParenR"/>
          </a:pPr>
          <a:r>
            <a:rPr lang="it-IT" sz="1200">
              <a:solidFill>
                <a:schemeClr val="tx1"/>
              </a:solidFill>
              <a:effectLst/>
              <a:latin typeface="+mn-lt"/>
              <a:ea typeface="+mn-ea"/>
              <a:cs typeface="+mn-cs"/>
            </a:rPr>
            <a:t>“SI”, se la comunicazione è stata recapitata tramite avviso telematico, reso disponibile all’intermediario incaricato (es. commercialista, consulente del lavoro) nell’area riservata del sito internet dell’Agenzia;</a:t>
          </a:r>
        </a:p>
        <a:p>
          <a:pPr marL="228600" lvl="0" indent="-228600">
            <a:buFont typeface="+mj-lt"/>
            <a:buAutoNum type="alphaLcParenR"/>
          </a:pPr>
          <a:r>
            <a:rPr lang="it-IT" sz="1200">
              <a:solidFill>
                <a:schemeClr val="tx1"/>
              </a:solidFill>
              <a:effectLst/>
              <a:latin typeface="+mn-lt"/>
              <a:ea typeface="+mn-ea"/>
              <a:cs typeface="+mn-cs"/>
            </a:rPr>
            <a:t>“NO”, negli altri casi (comunicazione inviata tramite PEC o raccomandata A/R, oppure</a:t>
          </a:r>
          <a:r>
            <a:rPr lang="it-IT" sz="1200" baseline="0">
              <a:solidFill>
                <a:schemeClr val="tx1"/>
              </a:solidFill>
              <a:effectLst/>
              <a:latin typeface="+mn-lt"/>
              <a:ea typeface="+mn-ea"/>
              <a:cs typeface="+mn-cs"/>
            </a:rPr>
            <a:t> consegnata dall'ufficio che ha prestato assistenza</a:t>
          </a:r>
          <a:r>
            <a:rPr lang="it-IT" sz="1200">
              <a:solidFill>
                <a:schemeClr val="tx1"/>
              </a:solidFill>
              <a:effectLst/>
              <a:latin typeface="+mn-lt"/>
              <a:ea typeface="+mn-ea"/>
              <a:cs typeface="+mn-cs"/>
            </a:rPr>
            <a:t>);</a:t>
          </a:r>
        </a:p>
        <a:p>
          <a:pPr marL="171450" lvl="0" indent="-171450">
            <a:buFont typeface="Wingdings" panose="05000000000000000000" pitchFamily="2" charset="2"/>
            <a:buChar char="§"/>
          </a:pPr>
          <a:r>
            <a:rPr lang="it-IT" sz="1200">
              <a:solidFill>
                <a:schemeClr val="tx1"/>
              </a:solidFill>
              <a:effectLst/>
              <a:latin typeface="+mn-lt"/>
              <a:ea typeface="+mn-ea"/>
              <a:cs typeface="+mn-cs"/>
            </a:rPr>
            <a:t>la data di elaborazione della comunicazione, indicata nella comunicazione stessa;</a:t>
          </a:r>
        </a:p>
        <a:p>
          <a:pPr marL="171450" lvl="0" indent="-171450">
            <a:buFont typeface="Wingdings" panose="05000000000000000000" pitchFamily="2" charset="2"/>
            <a:buChar char="§"/>
          </a:pPr>
          <a:r>
            <a:rPr lang="it-IT" sz="1200">
              <a:solidFill>
                <a:schemeClr val="tx1"/>
              </a:solidFill>
              <a:effectLst/>
              <a:latin typeface="+mn-lt"/>
              <a:ea typeface="+mn-ea"/>
              <a:cs typeface="+mn-cs"/>
            </a:rPr>
            <a:t>la data di consegna della comunicazione, ossia la data in cui l’avviso di cui al precedente punto a) è stato reso disponibile all’intermediario, oppure la comunicazione è stata consegnata al destinatario, nei casi di cui al punto b);</a:t>
          </a:r>
        </a:p>
        <a:p>
          <a:pPr marL="171450" lvl="0" indent="-171450">
            <a:buFont typeface="Wingdings" panose="05000000000000000000" pitchFamily="2" charset="2"/>
            <a:buChar char="§"/>
          </a:pPr>
          <a:r>
            <a:rPr lang="it-IT" sz="1200">
              <a:solidFill>
                <a:schemeClr val="tx1"/>
              </a:solidFill>
              <a:effectLst/>
              <a:latin typeface="+mn-lt"/>
              <a:ea typeface="+mn-ea"/>
              <a:cs typeface="+mn-cs"/>
            </a:rPr>
            <a:t>la prima rata non pagata con scadenza nel 2023, sulla base dell’originario piano di rateazione, dalla quale dovrà decorrere il piano di rateazione del debito residuo al 1° gennaio 2023, rielaborato con sanzioni ridotte;</a:t>
          </a:r>
        </a:p>
        <a:p>
          <a:pPr marL="171450" lvl="0" indent="-171450">
            <a:buFont typeface="Wingdings" panose="05000000000000000000" pitchFamily="2" charset="2"/>
            <a:buChar char="§"/>
          </a:pPr>
          <a:r>
            <a:rPr lang="it-IT" sz="1200">
              <a:solidFill>
                <a:schemeClr val="tx1"/>
              </a:solidFill>
              <a:effectLst/>
              <a:latin typeface="+mn-lt"/>
              <a:ea typeface="+mn-ea"/>
              <a:cs typeface="+mn-cs"/>
            </a:rPr>
            <a:t>il numero totale delle rate in cui si vuole suddividere il pagamento del debito, ivi comprese le rate già pagate o scadute (queste ultime, da pagare necessariamente entro la scadenza della prima rata successiva, per non decadere dai benefici della rateazione e della definizione agevolata).</a:t>
          </a:r>
        </a:p>
        <a:p>
          <a:r>
            <a:rPr lang="it-IT" sz="1200">
              <a:solidFill>
                <a:schemeClr val="tx1"/>
              </a:solidFill>
              <a:effectLst/>
              <a:latin typeface="+mn-lt"/>
              <a:ea typeface="+mn-ea"/>
              <a:cs typeface="+mn-cs"/>
            </a:rPr>
            <a:t>Nel foglio “Rateazione” è possibile anche indicare direttamente, nella cella evidenziata in arancione, l’importo del debito residuo autonomamente calcolato con sanzioni ridotte e poi inserire gli altri dati richiesti per procedere alla rielaborazione del piano di rateazione del debito stesso. In tale eventualità, l'importo inserito dall'utente sarà utilizzato per elaborare il nuovo piano di rateazione,</a:t>
          </a:r>
          <a:r>
            <a:rPr lang="it-IT" sz="1200" baseline="0">
              <a:solidFill>
                <a:schemeClr val="tx1"/>
              </a:solidFill>
              <a:effectLst/>
              <a:latin typeface="+mn-lt"/>
              <a:ea typeface="+mn-ea"/>
              <a:cs typeface="+mn-cs"/>
            </a:rPr>
            <a:t> in luogo dell'importo calcolato e riportato automaticamente dal foglio "Calcolo debito residuo".</a:t>
          </a:r>
          <a:endParaRPr lang="it-IT" sz="1200">
            <a:solidFill>
              <a:schemeClr val="tx1"/>
            </a:solidFill>
            <a:effectLst/>
            <a:latin typeface="+mn-lt"/>
            <a:ea typeface="+mn-ea"/>
            <a:cs typeface="+mn-cs"/>
          </a:endParaRPr>
        </a:p>
        <a:p>
          <a:r>
            <a:rPr lang="it-IT" sz="1200" b="1">
              <a:solidFill>
                <a:schemeClr val="tx1"/>
              </a:solidFill>
              <a:effectLst/>
              <a:latin typeface="+mn-lt"/>
              <a:ea typeface="+mn-ea"/>
              <a:cs typeface="+mn-cs"/>
            </a:rPr>
            <a:t>Si evidenzia che la correttezza delle elaborazioni effettuate dipende dall’esattezza e dalla congruità dei dati inseriti dall’utente e pertanto l’Agenzia delle Entrate declina ogni responsabilità in caso di errori commessi dall’utente nel compilare i fogli o di manomissione dei fogli stessi. Si invita l’utente a prestare particolare attenzione ai dati inseriti e ai</a:t>
          </a:r>
          <a:r>
            <a:rPr lang="it-IT" sz="1200" b="1" baseline="0">
              <a:solidFill>
                <a:schemeClr val="tx1"/>
              </a:solidFill>
              <a:effectLst/>
              <a:latin typeface="+mn-lt"/>
              <a:ea typeface="+mn-ea"/>
              <a:cs typeface="+mn-cs"/>
            </a:rPr>
            <a:t> risultati delle elaborazioni</a:t>
          </a:r>
          <a:r>
            <a:rPr lang="it-IT" sz="1200" b="1">
              <a:solidFill>
                <a:schemeClr val="tx1"/>
              </a:solidFill>
              <a:effectLst/>
              <a:latin typeface="+mn-lt"/>
              <a:ea typeface="+mn-ea"/>
              <a:cs typeface="+mn-cs"/>
            </a:rPr>
            <a:t>, nonché alle istruzioni, ai messaggi e alle segnalazioni presenti o visualizzati nei fogli di calcolo.</a:t>
          </a:r>
        </a:p>
        <a:p>
          <a:r>
            <a:rPr lang="it-IT" sz="1200">
              <a:solidFill>
                <a:schemeClr val="tx1"/>
              </a:solidFill>
              <a:effectLst/>
              <a:latin typeface="+mn-lt"/>
              <a:ea typeface="+mn-ea"/>
              <a:cs typeface="+mn-cs"/>
            </a:rPr>
            <a:t>Per ulteriori dettagli, è possibile consultare la circolare dell’Agenzia delle entrate n. 1/E del 13 gennaio 2023 e l’apposita sezione del sito internet della stessa Agenzia, dove sono pubblicate anche eventuali FAQ.</a:t>
          </a:r>
        </a:p>
        <a:p>
          <a:endParaRPr lang="it-IT" sz="1200">
            <a:solidFill>
              <a:schemeClr val="tx1"/>
            </a:solidFill>
          </a:endParaRPr>
        </a:p>
      </xdr:txBody>
    </xdr:sp>
    <xdr:clientData/>
  </xdr:twoCellAnchor>
  <xdr:twoCellAnchor editAs="oneCell">
    <xdr:from>
      <xdr:col>17</xdr:col>
      <xdr:colOff>38100</xdr:colOff>
      <xdr:row>1</xdr:row>
      <xdr:rowOff>171450</xdr:rowOff>
    </xdr:from>
    <xdr:to>
      <xdr:col>18</xdr:col>
      <xdr:colOff>533558</xdr:colOff>
      <xdr:row>3</xdr:row>
      <xdr:rowOff>47668</xdr:rowOff>
    </xdr:to>
    <xdr:pic>
      <xdr:nvPicPr>
        <xdr:cNvPr id="3" name="Immagine 2"/>
        <xdr:cNvPicPr>
          <a:picLocks noChangeAspect="1"/>
        </xdr:cNvPicPr>
      </xdr:nvPicPr>
      <xdr:blipFill>
        <a:blip xmlns:r="http://schemas.openxmlformats.org/officeDocument/2006/relationships" r:embed="rId1"/>
        <a:stretch>
          <a:fillRect/>
        </a:stretch>
      </xdr:blipFill>
      <xdr:spPr>
        <a:xfrm>
          <a:off x="10420350" y="266700"/>
          <a:ext cx="1133633" cy="304843"/>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
  <sheetViews>
    <sheetView showGridLines="0" showRowColHeaders="0" zoomScaleNormal="100" workbookViewId="0"/>
  </sheetViews>
  <sheetFormatPr defaultRowHeight="15" x14ac:dyDescent="0.25"/>
  <cols>
    <col min="1" max="1" width="2.5703125" style="9" customWidth="1"/>
    <col min="2" max="19" width="9.5703125" style="9" customWidth="1"/>
    <col min="20" max="16384" width="9.140625" style="9"/>
  </cols>
  <sheetData>
    <row r="1" spans="2:19" ht="7.5" customHeight="1" x14ac:dyDescent="0.25">
      <c r="B1" s="69"/>
    </row>
    <row r="2" spans="2:19" ht="18.75" x14ac:dyDescent="0.25">
      <c r="B2" s="92" t="s">
        <v>117</v>
      </c>
      <c r="C2" s="91"/>
      <c r="D2" s="91"/>
      <c r="E2" s="96" t="s">
        <v>82</v>
      </c>
      <c r="F2" s="96"/>
      <c r="G2" s="96"/>
      <c r="H2" s="96"/>
      <c r="I2" s="96"/>
      <c r="J2" s="96"/>
      <c r="K2" s="96"/>
      <c r="L2" s="96"/>
      <c r="M2" s="96"/>
      <c r="N2" s="96"/>
      <c r="O2" s="96"/>
      <c r="P2" s="96"/>
      <c r="Q2" s="91"/>
      <c r="R2" s="91"/>
      <c r="S2" s="91"/>
    </row>
    <row r="3" spans="2:19" x14ac:dyDescent="0.25">
      <c r="B3" s="95" t="s">
        <v>83</v>
      </c>
      <c r="C3" s="95"/>
      <c r="D3" s="95"/>
      <c r="E3" s="95"/>
      <c r="F3" s="95"/>
      <c r="G3" s="95"/>
      <c r="H3" s="95"/>
      <c r="I3" s="95"/>
      <c r="J3" s="95"/>
      <c r="K3" s="95"/>
      <c r="L3" s="95"/>
      <c r="M3" s="95"/>
      <c r="N3" s="95"/>
      <c r="O3" s="95"/>
      <c r="P3" s="95"/>
      <c r="Q3" s="95"/>
      <c r="R3" s="95"/>
      <c r="S3" s="95"/>
    </row>
  </sheetData>
  <sheetProtection password="85FD" sheet="1" objects="1" scenarios="1" selectLockedCells="1" selectUnlockedCells="1"/>
  <mergeCells count="2">
    <mergeCell ref="B3:S3"/>
    <mergeCell ref="E2:P2"/>
  </mergeCells>
  <pageMargins left="0.39370078740157483" right="0.39370078740157483" top="0.39370078740157483" bottom="0.39370078740157483" header="0.31496062992125984" footer="0.31496062992125984"/>
  <pageSetup paperSize="9"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K66"/>
  <sheetViews>
    <sheetView showGridLines="0" showRowColHeaders="0" zoomScaleNormal="100" workbookViewId="0">
      <selection activeCell="D6" sqref="D6"/>
    </sheetView>
  </sheetViews>
  <sheetFormatPr defaultRowHeight="15" x14ac:dyDescent="0.25"/>
  <cols>
    <col min="1" max="1" width="2.85546875" style="9" customWidth="1"/>
    <col min="2" max="2" width="7.85546875" style="3" bestFit="1" customWidth="1"/>
    <col min="3" max="3" width="73.85546875" style="9" customWidth="1"/>
    <col min="4" max="7" width="23.5703125" style="9" customWidth="1"/>
    <col min="8" max="8" width="3" style="9" customWidth="1"/>
    <col min="9" max="9" width="3" style="9" hidden="1" customWidth="1"/>
    <col min="10" max="10" width="11" style="9" hidden="1" customWidth="1"/>
    <col min="11" max="11" width="9.140625" style="9" hidden="1" customWidth="1"/>
    <col min="12" max="12" width="9.140625" style="9" customWidth="1"/>
    <col min="13" max="16384" width="9.140625" style="9"/>
  </cols>
  <sheetData>
    <row r="1" spans="2:10" ht="34.5" customHeight="1" x14ac:dyDescent="0.25">
      <c r="B1" s="100" t="str">
        <f>IF(OR(J10=TRUE,J11=TRUE,J12=TRUE,J13=TRUE,J14=TRUE,J15=TRUE,J16=TRUE,J17=TRUE,J18=TRUE,J19=TRUE,J20=TRUE,J21=TRUE,J23=TRUE)=TRUE,"ATTENZIONE!!! UNO O PIU' DATI RICHIESTI SONO MANCANTI O INSERITI NON CORRETTAMENTE. " &amp; "COMPLETARE L'INSERIMENTO DEI DATI OPPURE UTILIZZARE LA FUNZIONE 'ANNULLA' PER RIPRISTINARE I DATI PRECEDENTI E INSERIRE CORRETTAMENTE I DATI RICHIESTI.","")</f>
        <v/>
      </c>
      <c r="C1" s="100"/>
      <c r="D1" s="100"/>
      <c r="E1" s="100"/>
      <c r="F1" s="100"/>
      <c r="G1" s="100"/>
    </row>
    <row r="2" spans="2:10" ht="22.5" customHeight="1" x14ac:dyDescent="0.25">
      <c r="B2" s="101" t="s">
        <v>77</v>
      </c>
      <c r="C2" s="102"/>
      <c r="D2" s="102"/>
      <c r="E2" s="102"/>
      <c r="F2" s="102"/>
      <c r="G2" s="102"/>
    </row>
    <row r="3" spans="2:10" ht="22.5" customHeight="1" x14ac:dyDescent="0.25">
      <c r="B3" s="101"/>
      <c r="C3" s="102"/>
      <c r="D3" s="102"/>
      <c r="E3" s="102"/>
      <c r="F3" s="102"/>
      <c r="G3" s="102"/>
    </row>
    <row r="4" spans="2:10" ht="22.5" customHeight="1" x14ac:dyDescent="0.25">
      <c r="B4" s="102"/>
      <c r="C4" s="102"/>
      <c r="D4" s="102"/>
      <c r="E4" s="102"/>
      <c r="F4" s="102"/>
      <c r="G4" s="102"/>
    </row>
    <row r="5" spans="2:10" ht="7.5" customHeight="1" x14ac:dyDescent="0.25"/>
    <row r="6" spans="2:10" ht="18.75" customHeight="1" x14ac:dyDescent="0.25">
      <c r="B6" s="93" t="s">
        <v>117</v>
      </c>
      <c r="C6" s="67" t="s">
        <v>75</v>
      </c>
      <c r="D6" s="73"/>
      <c r="E6" s="69"/>
      <c r="F6" s="68" t="s">
        <v>80</v>
      </c>
      <c r="G6" s="74"/>
    </row>
    <row r="7" spans="2:10" ht="18.75" customHeight="1" x14ac:dyDescent="0.25">
      <c r="C7" s="67" t="s">
        <v>79</v>
      </c>
      <c r="D7" s="79"/>
      <c r="E7" s="69"/>
      <c r="F7" s="68" t="s">
        <v>76</v>
      </c>
      <c r="G7" s="75"/>
    </row>
    <row r="8" spans="2:10" ht="7.5" customHeight="1" thickBot="1" x14ac:dyDescent="0.3"/>
    <row r="9" spans="2:10" ht="51" customHeight="1" x14ac:dyDescent="0.25">
      <c r="B9" s="5" t="s">
        <v>110</v>
      </c>
      <c r="C9" s="5" t="s">
        <v>0</v>
      </c>
      <c r="D9" s="6" t="s">
        <v>67</v>
      </c>
      <c r="E9" s="6" t="s">
        <v>68</v>
      </c>
      <c r="F9" s="6" t="s">
        <v>69</v>
      </c>
      <c r="G9" s="6" t="s">
        <v>4</v>
      </c>
      <c r="J9" s="44" t="s">
        <v>71</v>
      </c>
    </row>
    <row r="10" spans="2:10" x14ac:dyDescent="0.25">
      <c r="B10" s="5">
        <v>1</v>
      </c>
      <c r="C10" s="7" t="s">
        <v>1</v>
      </c>
      <c r="D10" s="23">
        <v>51692</v>
      </c>
      <c r="E10" s="1">
        <f>ROUND($E$23/$D$22*D10,2)</f>
        <v>5169.2</v>
      </c>
      <c r="F10" s="1">
        <f t="shared" ref="F10:F21" si="0">D10-E10</f>
        <v>46522.8</v>
      </c>
      <c r="G10" s="1">
        <f>F10</f>
        <v>46522.8</v>
      </c>
      <c r="J10" s="45" t="b">
        <f t="shared" ref="J10:J19" si="1">OR(D10&lt;0,AND(ISNUMBER(D10)=FALSE,D10&lt;&gt;""))</f>
        <v>0</v>
      </c>
    </row>
    <row r="11" spans="2:10" x14ac:dyDescent="0.25">
      <c r="B11" s="5">
        <v>2</v>
      </c>
      <c r="C11" s="63" t="s">
        <v>5</v>
      </c>
      <c r="D11" s="23">
        <v>5169.2</v>
      </c>
      <c r="E11" s="1">
        <f>ROUND($E$23/$D$22*D11,2)</f>
        <v>516.91999999999996</v>
      </c>
      <c r="F11" s="1">
        <f t="shared" si="0"/>
        <v>4652.28</v>
      </c>
      <c r="G11" s="1">
        <f>ROUND(F11/10*3,2)</f>
        <v>1395.68</v>
      </c>
      <c r="J11" s="45" t="b">
        <f t="shared" si="1"/>
        <v>0</v>
      </c>
    </row>
    <row r="12" spans="2:10" x14ac:dyDescent="0.25">
      <c r="B12" s="5">
        <v>3</v>
      </c>
      <c r="C12" s="63" t="s">
        <v>6</v>
      </c>
      <c r="D12" s="23">
        <v>0</v>
      </c>
      <c r="E12" s="1">
        <f>ROUND($E$23/$D$22*D12,2)</f>
        <v>0</v>
      </c>
      <c r="F12" s="1">
        <f t="shared" si="0"/>
        <v>0</v>
      </c>
      <c r="G12" s="1">
        <f>ROUND(F12/10*3,2)</f>
        <v>0</v>
      </c>
      <c r="J12" s="45" t="b">
        <f t="shared" si="1"/>
        <v>0</v>
      </c>
    </row>
    <row r="13" spans="2:10" x14ac:dyDescent="0.25">
      <c r="B13" s="5">
        <v>4</v>
      </c>
      <c r="C13" s="63" t="s">
        <v>7</v>
      </c>
      <c r="D13" s="23">
        <v>0</v>
      </c>
      <c r="E13" s="1">
        <f>ROUND($E$23/$D$22*D13,2)</f>
        <v>0</v>
      </c>
      <c r="F13" s="1">
        <f t="shared" si="0"/>
        <v>0</v>
      </c>
      <c r="G13" s="1">
        <f>ROUND(F13/5*3,2)</f>
        <v>0</v>
      </c>
      <c r="J13" s="45" t="b">
        <f t="shared" si="1"/>
        <v>0</v>
      </c>
    </row>
    <row r="14" spans="2:10" x14ac:dyDescent="0.25">
      <c r="B14" s="5">
        <v>5</v>
      </c>
      <c r="C14" s="63" t="s">
        <v>8</v>
      </c>
      <c r="D14" s="23">
        <v>0</v>
      </c>
      <c r="E14" s="1">
        <f>ROUND($E$23/$D$22*D14,2)</f>
        <v>0</v>
      </c>
      <c r="F14" s="1">
        <f t="shared" si="0"/>
        <v>0</v>
      </c>
      <c r="G14" s="1">
        <f>ROUND(F14/4.67*3,2)</f>
        <v>0</v>
      </c>
      <c r="J14" s="45" t="b">
        <f t="shared" si="1"/>
        <v>0</v>
      </c>
    </row>
    <row r="15" spans="2:10" x14ac:dyDescent="0.25">
      <c r="B15" s="5">
        <v>6</v>
      </c>
      <c r="C15" s="63" t="s">
        <v>9</v>
      </c>
      <c r="D15" s="23">
        <v>0</v>
      </c>
      <c r="E15" s="1">
        <f>ROUND($E$23/$D$22*D15,2)</f>
        <v>0</v>
      </c>
      <c r="F15" s="1">
        <f t="shared" si="0"/>
        <v>0</v>
      </c>
      <c r="G15" s="1">
        <f>ROUND(F15/4.33*3,2)</f>
        <v>0</v>
      </c>
      <c r="J15" s="45" t="b">
        <f t="shared" si="1"/>
        <v>0</v>
      </c>
    </row>
    <row r="16" spans="2:10" x14ac:dyDescent="0.25">
      <c r="B16" s="5">
        <v>7</v>
      </c>
      <c r="C16" s="63" t="s">
        <v>10</v>
      </c>
      <c r="D16" s="23">
        <v>0</v>
      </c>
      <c r="E16" s="1">
        <f>ROUND($E$23/$D$22*D16,2)</f>
        <v>0</v>
      </c>
      <c r="F16" s="1">
        <f t="shared" si="0"/>
        <v>0</v>
      </c>
      <c r="G16" s="1">
        <f>ROUND(F16/4*3,2)</f>
        <v>0</v>
      </c>
      <c r="J16" s="45" t="b">
        <f t="shared" si="1"/>
        <v>0</v>
      </c>
    </row>
    <row r="17" spans="2:10" x14ac:dyDescent="0.25">
      <c r="B17" s="5">
        <v>8</v>
      </c>
      <c r="C17" s="63" t="s">
        <v>11</v>
      </c>
      <c r="D17" s="23">
        <v>0</v>
      </c>
      <c r="E17" s="1">
        <f>ROUND($E$23/$D$22*D17,2)</f>
        <v>0</v>
      </c>
      <c r="F17" s="1">
        <f t="shared" si="0"/>
        <v>0</v>
      </c>
      <c r="G17" s="1">
        <f>ROUND(F17/3.67*3,2)</f>
        <v>0</v>
      </c>
      <c r="J17" s="45" t="b">
        <f t="shared" si="1"/>
        <v>0</v>
      </c>
    </row>
    <row r="18" spans="2:10" x14ac:dyDescent="0.25">
      <c r="B18" s="5">
        <v>9</v>
      </c>
      <c r="C18" s="63" t="s">
        <v>12</v>
      </c>
      <c r="D18" s="23">
        <v>0</v>
      </c>
      <c r="E18" s="1">
        <f>ROUND($E$23/$D$22*D18,2)</f>
        <v>0</v>
      </c>
      <c r="F18" s="1">
        <f t="shared" si="0"/>
        <v>0</v>
      </c>
      <c r="G18" s="1">
        <f>ROUND(F18/3.33*3,2)</f>
        <v>0</v>
      </c>
      <c r="J18" s="45" t="b">
        <f t="shared" si="1"/>
        <v>0</v>
      </c>
    </row>
    <row r="19" spans="2:10" x14ac:dyDescent="0.25">
      <c r="B19" s="5">
        <v>10</v>
      </c>
      <c r="C19" s="63" t="s">
        <v>13</v>
      </c>
      <c r="D19" s="23">
        <v>0</v>
      </c>
      <c r="E19" s="1">
        <f>ROUND($E$23/$D$22*D19,2)</f>
        <v>0</v>
      </c>
      <c r="F19" s="1">
        <f t="shared" si="0"/>
        <v>0</v>
      </c>
      <c r="G19" s="1">
        <f>F19</f>
        <v>0</v>
      </c>
      <c r="J19" s="45" t="b">
        <f t="shared" si="1"/>
        <v>0</v>
      </c>
    </row>
    <row r="20" spans="2:10" x14ac:dyDescent="0.25">
      <c r="B20" s="5">
        <v>11</v>
      </c>
      <c r="C20" s="63" t="s">
        <v>84</v>
      </c>
      <c r="D20" s="23">
        <v>5596.43</v>
      </c>
      <c r="E20" s="1">
        <f>E23-E10-E11-E12-E13-E14-E15-E16-E17-E18-E19-E21</f>
        <v>559.64000000000044</v>
      </c>
      <c r="F20" s="1">
        <f t="shared" si="0"/>
        <v>5036.79</v>
      </c>
      <c r="G20" s="1">
        <f>F20</f>
        <v>5036.79</v>
      </c>
      <c r="J20" s="45" t="b">
        <f>OR(D20&lt;=0,ISNUMBER(D20)=FALSE)</f>
        <v>0</v>
      </c>
    </row>
    <row r="21" spans="2:10" x14ac:dyDescent="0.25">
      <c r="B21" s="5">
        <v>12</v>
      </c>
      <c r="C21" s="63" t="s">
        <v>2</v>
      </c>
      <c r="D21" s="23">
        <v>0</v>
      </c>
      <c r="E21" s="1">
        <f>ROUND($E$23/$D$22*D21,2)</f>
        <v>0</v>
      </c>
      <c r="F21" s="1">
        <f t="shared" si="0"/>
        <v>0</v>
      </c>
      <c r="G21" s="1">
        <f>F21</f>
        <v>0</v>
      </c>
      <c r="J21" s="45" t="b">
        <f>OR(D21&lt;0,AND(ISNUMBER(D21)=FALSE,D21&lt;&gt;""))</f>
        <v>0</v>
      </c>
    </row>
    <row r="22" spans="2:10" x14ac:dyDescent="0.25">
      <c r="B22" s="5">
        <v>13</v>
      </c>
      <c r="C22" s="7" t="s">
        <v>3</v>
      </c>
      <c r="D22" s="2">
        <f>SUM(D10:D21)</f>
        <v>62457.63</v>
      </c>
      <c r="E22" s="8"/>
      <c r="F22" s="8"/>
      <c r="G22" s="8"/>
      <c r="J22" s="45"/>
    </row>
    <row r="23" spans="2:10" ht="35.25" customHeight="1" thickBot="1" x14ac:dyDescent="0.3">
      <c r="B23" s="5">
        <v>14</v>
      </c>
      <c r="C23" s="82" t="s">
        <v>118</v>
      </c>
      <c r="D23" s="8"/>
      <c r="E23" s="24">
        <v>6245.76</v>
      </c>
      <c r="F23" s="8"/>
      <c r="G23" s="8"/>
      <c r="J23" s="46" t="b">
        <f>OR(E23&lt;0,AND(ISNUMBER(E23)=FALSE,E23&lt;&gt;""),E23&gt;=D22)</f>
        <v>0</v>
      </c>
    </row>
    <row r="24" spans="2:10" x14ac:dyDescent="0.25">
      <c r="B24" s="5">
        <v>15</v>
      </c>
      <c r="C24" s="7" t="s">
        <v>14</v>
      </c>
      <c r="D24" s="8"/>
      <c r="E24" s="8"/>
      <c r="F24" s="2">
        <f>SUM(F10:F21)</f>
        <v>56211.87</v>
      </c>
      <c r="G24" s="8"/>
    </row>
    <row r="25" spans="2:10" ht="42" customHeight="1" x14ac:dyDescent="0.25">
      <c r="B25" s="5">
        <v>16</v>
      </c>
      <c r="C25" s="58" t="s">
        <v>22</v>
      </c>
      <c r="D25" s="103" t="s">
        <v>72</v>
      </c>
      <c r="E25" s="103"/>
      <c r="F25" s="103"/>
      <c r="G25" s="25">
        <f>SUM(G10:G21)</f>
        <v>52955.270000000004</v>
      </c>
      <c r="J25" s="115"/>
    </row>
    <row r="27" spans="2:10" x14ac:dyDescent="0.25">
      <c r="B27" s="104" t="s">
        <v>78</v>
      </c>
      <c r="C27" s="105"/>
      <c r="D27" s="105"/>
      <c r="E27" s="105"/>
      <c r="F27" s="105"/>
      <c r="G27" s="105"/>
    </row>
    <row r="28" spans="2:10" x14ac:dyDescent="0.25">
      <c r="B28" s="105"/>
      <c r="C28" s="105"/>
      <c r="D28" s="105"/>
      <c r="E28" s="105"/>
      <c r="F28" s="105"/>
      <c r="G28" s="105"/>
    </row>
    <row r="30" spans="2:10" ht="15.75" x14ac:dyDescent="0.25">
      <c r="B30" s="102" t="s">
        <v>70</v>
      </c>
      <c r="C30" s="102"/>
      <c r="D30" s="102"/>
      <c r="E30" s="102"/>
      <c r="F30" s="102"/>
      <c r="G30" s="102"/>
    </row>
    <row r="31" spans="2:10" ht="9.75" customHeight="1" x14ac:dyDescent="0.25">
      <c r="B31" s="98">
        <v>1</v>
      </c>
      <c r="C31" s="99" t="s">
        <v>15</v>
      </c>
      <c r="D31" s="99"/>
      <c r="E31" s="99"/>
      <c r="F31" s="99"/>
      <c r="G31" s="99"/>
    </row>
    <row r="32" spans="2:10" ht="9.75" customHeight="1" x14ac:dyDescent="0.25">
      <c r="B32" s="98"/>
      <c r="C32" s="99"/>
      <c r="D32" s="99"/>
      <c r="E32" s="99"/>
      <c r="F32" s="99"/>
      <c r="G32" s="99"/>
    </row>
    <row r="33" spans="2:7" x14ac:dyDescent="0.25">
      <c r="B33" s="5">
        <v>2</v>
      </c>
      <c r="C33" s="97" t="s">
        <v>16</v>
      </c>
      <c r="D33" s="97"/>
      <c r="E33" s="97"/>
      <c r="F33" s="97"/>
      <c r="G33" s="97"/>
    </row>
    <row r="34" spans="2:7" ht="16.5" customHeight="1" x14ac:dyDescent="0.25">
      <c r="B34" s="98">
        <v>3</v>
      </c>
      <c r="C34" s="114" t="s">
        <v>119</v>
      </c>
      <c r="D34" s="114"/>
      <c r="E34" s="114"/>
      <c r="F34" s="114"/>
      <c r="G34" s="114"/>
    </row>
    <row r="35" spans="2:7" ht="16.5" customHeight="1" x14ac:dyDescent="0.25">
      <c r="B35" s="98"/>
      <c r="C35" s="114"/>
      <c r="D35" s="114"/>
      <c r="E35" s="114"/>
      <c r="F35" s="114"/>
      <c r="G35" s="114"/>
    </row>
    <row r="36" spans="2:7" ht="12" customHeight="1" x14ac:dyDescent="0.25">
      <c r="B36" s="98">
        <v>4</v>
      </c>
      <c r="C36" s="114" t="s">
        <v>120</v>
      </c>
      <c r="D36" s="114"/>
      <c r="E36" s="114"/>
      <c r="F36" s="114"/>
      <c r="G36" s="114"/>
    </row>
    <row r="37" spans="2:7" ht="12" customHeight="1" x14ac:dyDescent="0.25">
      <c r="B37" s="98"/>
      <c r="C37" s="114"/>
      <c r="D37" s="114"/>
      <c r="E37" s="114"/>
      <c r="F37" s="114"/>
      <c r="G37" s="114"/>
    </row>
    <row r="38" spans="2:7" ht="12" customHeight="1" x14ac:dyDescent="0.25">
      <c r="B38" s="98"/>
      <c r="C38" s="114"/>
      <c r="D38" s="114"/>
      <c r="E38" s="114"/>
      <c r="F38" s="114"/>
      <c r="G38" s="114"/>
    </row>
    <row r="39" spans="2:7" ht="12" customHeight="1" x14ac:dyDescent="0.25">
      <c r="B39" s="98">
        <v>5</v>
      </c>
      <c r="C39" s="114" t="s">
        <v>121</v>
      </c>
      <c r="D39" s="114"/>
      <c r="E39" s="114"/>
      <c r="F39" s="114"/>
      <c r="G39" s="114"/>
    </row>
    <row r="40" spans="2:7" ht="12" customHeight="1" x14ac:dyDescent="0.25">
      <c r="B40" s="98"/>
      <c r="C40" s="114"/>
      <c r="D40" s="114"/>
      <c r="E40" s="114"/>
      <c r="F40" s="114"/>
      <c r="G40" s="114"/>
    </row>
    <row r="41" spans="2:7" ht="12" customHeight="1" x14ac:dyDescent="0.25">
      <c r="B41" s="98"/>
      <c r="C41" s="114"/>
      <c r="D41" s="114"/>
      <c r="E41" s="114"/>
      <c r="F41" s="114"/>
      <c r="G41" s="114"/>
    </row>
    <row r="42" spans="2:7" ht="12" customHeight="1" x14ac:dyDescent="0.25">
      <c r="B42" s="98">
        <v>6</v>
      </c>
      <c r="C42" s="114" t="s">
        <v>122</v>
      </c>
      <c r="D42" s="114"/>
      <c r="E42" s="114"/>
      <c r="F42" s="114"/>
      <c r="G42" s="114"/>
    </row>
    <row r="43" spans="2:7" ht="12" customHeight="1" x14ac:dyDescent="0.25">
      <c r="B43" s="98"/>
      <c r="C43" s="114"/>
      <c r="D43" s="114"/>
      <c r="E43" s="114"/>
      <c r="F43" s="114"/>
      <c r="G43" s="114"/>
    </row>
    <row r="44" spans="2:7" ht="12" customHeight="1" x14ac:dyDescent="0.25">
      <c r="B44" s="98"/>
      <c r="C44" s="114"/>
      <c r="D44" s="114"/>
      <c r="E44" s="114"/>
      <c r="F44" s="114"/>
      <c r="G44" s="114"/>
    </row>
    <row r="45" spans="2:7" ht="12" customHeight="1" x14ac:dyDescent="0.25">
      <c r="B45" s="98">
        <v>7</v>
      </c>
      <c r="C45" s="114" t="s">
        <v>123</v>
      </c>
      <c r="D45" s="114"/>
      <c r="E45" s="114"/>
      <c r="F45" s="114"/>
      <c r="G45" s="114"/>
    </row>
    <row r="46" spans="2:7" ht="12" customHeight="1" x14ac:dyDescent="0.25">
      <c r="B46" s="98"/>
      <c r="C46" s="114"/>
      <c r="D46" s="114"/>
      <c r="E46" s="114"/>
      <c r="F46" s="114"/>
      <c r="G46" s="114"/>
    </row>
    <row r="47" spans="2:7" ht="12" customHeight="1" x14ac:dyDescent="0.25">
      <c r="B47" s="98"/>
      <c r="C47" s="114"/>
      <c r="D47" s="114"/>
      <c r="E47" s="114"/>
      <c r="F47" s="114"/>
      <c r="G47" s="114"/>
    </row>
    <row r="48" spans="2:7" ht="12" customHeight="1" x14ac:dyDescent="0.25">
      <c r="B48" s="98">
        <v>8</v>
      </c>
      <c r="C48" s="114" t="s">
        <v>124</v>
      </c>
      <c r="D48" s="114"/>
      <c r="E48" s="114"/>
      <c r="F48" s="114"/>
      <c r="G48" s="114"/>
    </row>
    <row r="49" spans="2:7" ht="12" customHeight="1" x14ac:dyDescent="0.25">
      <c r="B49" s="98"/>
      <c r="C49" s="114"/>
      <c r="D49" s="114"/>
      <c r="E49" s="114"/>
      <c r="F49" s="114"/>
      <c r="G49" s="114"/>
    </row>
    <row r="50" spans="2:7" ht="12" customHeight="1" x14ac:dyDescent="0.25">
      <c r="B50" s="98"/>
      <c r="C50" s="114"/>
      <c r="D50" s="114"/>
      <c r="E50" s="114"/>
      <c r="F50" s="114"/>
      <c r="G50" s="114"/>
    </row>
    <row r="51" spans="2:7" ht="12" customHeight="1" x14ac:dyDescent="0.25">
      <c r="B51" s="98">
        <v>9</v>
      </c>
      <c r="C51" s="114" t="s">
        <v>125</v>
      </c>
      <c r="D51" s="114"/>
      <c r="E51" s="114"/>
      <c r="F51" s="114"/>
      <c r="G51" s="114"/>
    </row>
    <row r="52" spans="2:7" ht="12" customHeight="1" x14ac:dyDescent="0.25">
      <c r="B52" s="98"/>
      <c r="C52" s="114"/>
      <c r="D52" s="114"/>
      <c r="E52" s="114"/>
      <c r="F52" s="114"/>
      <c r="G52" s="114"/>
    </row>
    <row r="53" spans="2:7" ht="12" customHeight="1" x14ac:dyDescent="0.25">
      <c r="B53" s="98"/>
      <c r="C53" s="114"/>
      <c r="D53" s="114"/>
      <c r="E53" s="114"/>
      <c r="F53" s="114"/>
      <c r="G53" s="114"/>
    </row>
    <row r="54" spans="2:7" ht="12.75" customHeight="1" x14ac:dyDescent="0.25">
      <c r="B54" s="98">
        <v>10</v>
      </c>
      <c r="C54" s="114" t="s">
        <v>126</v>
      </c>
      <c r="D54" s="114"/>
      <c r="E54" s="114"/>
      <c r="F54" s="114"/>
      <c r="G54" s="114"/>
    </row>
    <row r="55" spans="2:7" ht="12.75" customHeight="1" x14ac:dyDescent="0.25">
      <c r="B55" s="98"/>
      <c r="C55" s="114"/>
      <c r="D55" s="114"/>
      <c r="E55" s="114"/>
      <c r="F55" s="114"/>
      <c r="G55" s="114"/>
    </row>
    <row r="56" spans="2:7" ht="12.75" customHeight="1" x14ac:dyDescent="0.25">
      <c r="B56" s="98"/>
      <c r="C56" s="114"/>
      <c r="D56" s="114"/>
      <c r="E56" s="114"/>
      <c r="F56" s="114"/>
      <c r="G56" s="114"/>
    </row>
    <row r="57" spans="2:7" x14ac:dyDescent="0.25">
      <c r="B57" s="5">
        <v>11</v>
      </c>
      <c r="C57" s="97" t="s">
        <v>17</v>
      </c>
      <c r="D57" s="97"/>
      <c r="E57" s="97"/>
      <c r="F57" s="97"/>
      <c r="G57" s="97"/>
    </row>
    <row r="58" spans="2:7" x14ac:dyDescent="0.25">
      <c r="B58" s="98">
        <v>12</v>
      </c>
      <c r="C58" s="99" t="s">
        <v>18</v>
      </c>
      <c r="D58" s="99"/>
      <c r="E58" s="99"/>
      <c r="F58" s="99"/>
      <c r="G58" s="99"/>
    </row>
    <row r="59" spans="2:7" x14ac:dyDescent="0.25">
      <c r="B59" s="98"/>
      <c r="C59" s="99"/>
      <c r="D59" s="99"/>
      <c r="E59" s="99"/>
      <c r="F59" s="99"/>
      <c r="G59" s="99"/>
    </row>
    <row r="60" spans="2:7" ht="10.5" customHeight="1" x14ac:dyDescent="0.25">
      <c r="B60" s="98">
        <v>13</v>
      </c>
      <c r="C60" s="99" t="s">
        <v>19</v>
      </c>
      <c r="D60" s="99"/>
      <c r="E60" s="99"/>
      <c r="F60" s="99"/>
      <c r="G60" s="99"/>
    </row>
    <row r="61" spans="2:7" ht="10.5" customHeight="1" x14ac:dyDescent="0.25">
      <c r="B61" s="98"/>
      <c r="C61" s="99"/>
      <c r="D61" s="99"/>
      <c r="E61" s="99"/>
      <c r="F61" s="99"/>
      <c r="G61" s="99"/>
    </row>
    <row r="62" spans="2:7" ht="27" customHeight="1" x14ac:dyDescent="0.25">
      <c r="B62" s="98">
        <v>14</v>
      </c>
      <c r="C62" s="99" t="s">
        <v>107</v>
      </c>
      <c r="D62" s="99"/>
      <c r="E62" s="99"/>
      <c r="F62" s="99"/>
      <c r="G62" s="99"/>
    </row>
    <row r="63" spans="2:7" ht="27" customHeight="1" x14ac:dyDescent="0.25">
      <c r="B63" s="98"/>
      <c r="C63" s="99"/>
      <c r="D63" s="99"/>
      <c r="E63" s="99"/>
      <c r="F63" s="99"/>
      <c r="G63" s="99"/>
    </row>
    <row r="64" spans="2:7" ht="27" customHeight="1" x14ac:dyDescent="0.25">
      <c r="B64" s="98"/>
      <c r="C64" s="99"/>
      <c r="D64" s="99"/>
      <c r="E64" s="99"/>
      <c r="F64" s="99"/>
      <c r="G64" s="99"/>
    </row>
    <row r="65" spans="2:7" x14ac:dyDescent="0.25">
      <c r="B65" s="5">
        <v>15</v>
      </c>
      <c r="C65" s="97" t="s">
        <v>20</v>
      </c>
      <c r="D65" s="97"/>
      <c r="E65" s="97"/>
      <c r="F65" s="97"/>
      <c r="G65" s="97"/>
    </row>
    <row r="66" spans="2:7" x14ac:dyDescent="0.25">
      <c r="B66" s="5">
        <v>16</v>
      </c>
      <c r="C66" s="97" t="s">
        <v>21</v>
      </c>
      <c r="D66" s="97"/>
      <c r="E66" s="97"/>
      <c r="F66" s="97"/>
      <c r="G66" s="97"/>
    </row>
  </sheetData>
  <sheetProtection password="85FD" sheet="1" objects="1" scenarios="1" selectLockedCells="1"/>
  <mergeCells count="33">
    <mergeCell ref="B1:G1"/>
    <mergeCell ref="B2:G4"/>
    <mergeCell ref="B31:B32"/>
    <mergeCell ref="C31:G32"/>
    <mergeCell ref="B30:G30"/>
    <mergeCell ref="D25:F25"/>
    <mergeCell ref="B27:G28"/>
    <mergeCell ref="C66:G66"/>
    <mergeCell ref="C62:G64"/>
    <mergeCell ref="C36:G38"/>
    <mergeCell ref="B36:B38"/>
    <mergeCell ref="C39:G41"/>
    <mergeCell ref="B39:B41"/>
    <mergeCell ref="C42:G44"/>
    <mergeCell ref="B42:B44"/>
    <mergeCell ref="B62:B64"/>
    <mergeCell ref="C45:G47"/>
    <mergeCell ref="B45:B47"/>
    <mergeCell ref="C48:G50"/>
    <mergeCell ref="C60:G61"/>
    <mergeCell ref="B60:B61"/>
    <mergeCell ref="C54:G56"/>
    <mergeCell ref="B51:B53"/>
    <mergeCell ref="C65:G65"/>
    <mergeCell ref="C33:G33"/>
    <mergeCell ref="B54:B56"/>
    <mergeCell ref="C58:G59"/>
    <mergeCell ref="B58:B59"/>
    <mergeCell ref="C34:G35"/>
    <mergeCell ref="B34:B35"/>
    <mergeCell ref="C57:G57"/>
    <mergeCell ref="B48:B50"/>
    <mergeCell ref="C51:G53"/>
  </mergeCells>
  <conditionalFormatting sqref="E10:G21">
    <cfRule type="expression" dxfId="16" priority="7">
      <formula>$B$1&lt;&gt;""</formula>
    </cfRule>
  </conditionalFormatting>
  <conditionalFormatting sqref="C10:C21">
    <cfRule type="expression" dxfId="15" priority="6">
      <formula>J10=TRUE</formula>
    </cfRule>
  </conditionalFormatting>
  <conditionalFormatting sqref="C23">
    <cfRule type="expression" dxfId="14" priority="4">
      <formula>$J$23=TRUE</formula>
    </cfRule>
  </conditionalFormatting>
  <conditionalFormatting sqref="F24">
    <cfRule type="expression" dxfId="13" priority="3">
      <formula>$B$1&lt;&gt;""</formula>
    </cfRule>
  </conditionalFormatting>
  <conditionalFormatting sqref="G25">
    <cfRule type="expression" dxfId="12" priority="2">
      <formula>$B$1&lt;&gt;""</formula>
    </cfRule>
  </conditionalFormatting>
  <dataValidations count="4">
    <dataValidation type="decimal" operator="greaterThanOrEqual" allowBlank="1" showErrorMessage="1" errorTitle="ERRORE" error="Valore non valido. Inserire un numero maggiore o uguale a zero." sqref="D10:D19 D21">
      <formula1>0</formula1>
    </dataValidation>
    <dataValidation type="decimal" operator="greaterThan" showErrorMessage="1" errorTitle="ERRORE" error="Valore non valido. Inserire un numero maggiore di zero." promptTitle="Interessi" prompt="Inserire un numero maggiore di zero." sqref="D20">
      <formula1>0</formula1>
    </dataValidation>
    <dataValidation type="decimal" allowBlank="1" showErrorMessage="1" errorTitle="ERRORE" error="Valore non valido. Inserire un numero maggiore o uguale a zero ma non superiore o uguale all'importo totale della comunicazione." sqref="E23">
      <formula1>0</formula1>
      <formula2>D22-0.01</formula2>
    </dataValidation>
    <dataValidation type="whole" allowBlank="1" showInputMessage="1" showErrorMessage="1" errorTitle="ERRORE" error="Anno d'imposta non valido" promptTitle="Anno d'imposta" prompt="Indicare l'anno d'imposta a cui si riferisce la comunicazione" sqref="G7">
      <formula1>2013</formula1>
      <formula2>2022</formula2>
    </dataValidation>
  </dataValidations>
  <pageMargins left="0.51181102362204722" right="0.51181102362204722" top="0.55118110236220474" bottom="0.55118110236220474" header="0.31496062992125984" footer="0.31496062992125984"/>
  <pageSetup paperSize="9" scale="72" fitToHeight="2" orientation="landscape" r:id="rId1"/>
  <rowBreaks count="1" manualBreakCount="1">
    <brk id="29" min="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Y64"/>
  <sheetViews>
    <sheetView showGridLines="0" showRowColHeaders="0" tabSelected="1" zoomScaleNormal="100" workbookViewId="0">
      <selection activeCell="D8" sqref="D8"/>
    </sheetView>
  </sheetViews>
  <sheetFormatPr defaultRowHeight="15" x14ac:dyDescent="0.25"/>
  <cols>
    <col min="1" max="1" width="2.42578125" style="9" customWidth="1"/>
    <col min="2" max="2" width="3.85546875" style="80" customWidth="1"/>
    <col min="3" max="3" width="61.5703125" style="9" bestFit="1" customWidth="1"/>
    <col min="4" max="4" width="22.140625" style="9" customWidth="1"/>
    <col min="5" max="6" width="17.42578125" style="9" customWidth="1"/>
    <col min="7" max="7" width="34.28515625" style="9" customWidth="1"/>
    <col min="8" max="8" width="33.42578125" style="9" customWidth="1"/>
    <col min="9" max="9" width="2.5703125" style="9" customWidth="1"/>
    <col min="10" max="10" width="2.42578125" style="9" hidden="1" customWidth="1"/>
    <col min="11" max="11" width="35.5703125" style="26" hidden="1" customWidth="1"/>
    <col min="12" max="12" width="10.85546875" style="26" hidden="1" customWidth="1"/>
    <col min="13" max="13" width="2" style="26" hidden="1" customWidth="1"/>
    <col min="14" max="14" width="22.7109375" style="9" hidden="1" customWidth="1"/>
    <col min="15" max="15" width="10.28515625" style="9" hidden="1" customWidth="1"/>
    <col min="16" max="16" width="22.7109375" style="9" hidden="1" customWidth="1"/>
    <col min="17" max="17" width="9" style="9" hidden="1" customWidth="1"/>
    <col min="18" max="18" width="3.140625" style="9" hidden="1" customWidth="1"/>
    <col min="19" max="21" width="6.42578125" style="9" hidden="1" customWidth="1"/>
    <col min="22" max="22" width="9.140625" style="9" hidden="1" customWidth="1"/>
    <col min="23" max="23" width="9.140625" style="9"/>
    <col min="24" max="25" width="10.7109375" style="9" bestFit="1" customWidth="1"/>
    <col min="26" max="16384" width="9.140625" style="9"/>
  </cols>
  <sheetData>
    <row r="1" spans="2:25" ht="35.25" customHeight="1" x14ac:dyDescent="0.25">
      <c r="C1" s="100" t="str">
        <f ca="1">IF(OR(N8=TRUE,N10=TRUE,N11=TRUE,N16=TRUE,N17=TRUE,N14=FALSE,N13=TRUE)=TRUE,"ATTENZIONE!!! UNO O PIU' DATI RICHIESTI SONO MANCANTI O INSERITI NON CORRETTAMENTE." &amp; CHAR(10) &amp; "COMPLETARE L'INSERIMENTO DEI DATI OPPURE UTILIZZARE LA FUNZIONE 'ANNULLA' PER RIPRISTINARE I DATI PRECEDENTI E INSERIRE CORRETTAMENTE I DATI RICHIESTI.","")</f>
        <v/>
      </c>
      <c r="D1" s="100"/>
      <c r="E1" s="100"/>
      <c r="F1" s="100"/>
      <c r="G1" s="100"/>
      <c r="H1" s="100"/>
      <c r="I1" s="42"/>
    </row>
    <row r="2" spans="2:25" ht="15.75" thickBot="1" x14ac:dyDescent="0.3">
      <c r="C2" s="111" t="s">
        <v>46</v>
      </c>
      <c r="D2" s="111"/>
      <c r="E2" s="111"/>
      <c r="F2" s="111"/>
      <c r="G2" s="111"/>
      <c r="H2" s="111"/>
      <c r="I2" s="43"/>
      <c r="P2" s="88"/>
      <c r="X2" s="66"/>
      <c r="Y2" s="88"/>
    </row>
    <row r="3" spans="2:25" ht="17.25" customHeight="1" x14ac:dyDescent="0.25">
      <c r="C3" s="112" t="s">
        <v>101</v>
      </c>
      <c r="D3" s="113"/>
      <c r="E3" s="113"/>
      <c r="F3" s="113"/>
      <c r="G3" s="113"/>
      <c r="H3" s="113"/>
      <c r="I3" s="43"/>
      <c r="N3" s="44" t="s">
        <v>71</v>
      </c>
      <c r="P3" s="88"/>
      <c r="X3" s="66"/>
      <c r="Y3" s="88"/>
    </row>
    <row r="4" spans="2:25" ht="5.25" customHeight="1" x14ac:dyDescent="0.25">
      <c r="I4" s="33"/>
      <c r="N4" s="45"/>
    </row>
    <row r="5" spans="2:25" ht="13.5" customHeight="1" x14ac:dyDescent="0.25">
      <c r="E5" s="71" t="s">
        <v>80</v>
      </c>
      <c r="F5" s="71" t="s">
        <v>76</v>
      </c>
      <c r="G5" s="71" t="s">
        <v>75</v>
      </c>
      <c r="H5" s="77" t="s">
        <v>79</v>
      </c>
      <c r="I5" s="43"/>
      <c r="N5" s="70"/>
    </row>
    <row r="6" spans="2:25" ht="21" customHeight="1" x14ac:dyDescent="0.25">
      <c r="C6" s="94" t="s">
        <v>117</v>
      </c>
      <c r="E6" s="72" t="str">
        <f>IF(ISERROR(IF('2 - Calcolo debito residuo'!G6="","",'2 - Calcolo debito residuo'!G6))=TRUE,"",IF('2 - Calcolo debito residuo'!G6="","",'2 - Calcolo debito residuo'!G6))</f>
        <v/>
      </c>
      <c r="F6" s="72" t="str">
        <f>IF(ISERROR(IF('2 - Calcolo debito residuo'!G7="","",'2 - Calcolo debito residuo'!G7))=TRUE,"",IF('2 - Calcolo debito residuo'!G7="","",'2 - Calcolo debito residuo'!G7))</f>
        <v/>
      </c>
      <c r="G6" s="72" t="str">
        <f>IF(ISERROR(IF('2 - Calcolo debito residuo'!D6="","",'2 - Calcolo debito residuo'!D6))=TRUE,"",IF('2 - Calcolo debito residuo'!D6="","",'2 - Calcolo debito residuo'!D6))</f>
        <v/>
      </c>
      <c r="H6" s="78" t="str">
        <f>IF(ISERROR(IF('2 - Calcolo debito residuo'!D7="","",'2 - Calcolo debito residuo'!D7))=TRUE,"",IF('2 - Calcolo debito residuo'!D7="","",'2 - Calcolo debito residuo'!D7))</f>
        <v/>
      </c>
      <c r="I6" s="26"/>
      <c r="J6" s="26"/>
      <c r="N6" s="70"/>
      <c r="P6" s="87"/>
      <c r="X6" s="66"/>
      <c r="Y6" s="88"/>
    </row>
    <row r="7" spans="2:25" x14ac:dyDescent="0.25">
      <c r="I7" s="33"/>
      <c r="N7" s="45"/>
    </row>
    <row r="8" spans="2:25" ht="30" x14ac:dyDescent="0.25">
      <c r="B8" s="81" t="s">
        <v>85</v>
      </c>
      <c r="C8" s="12" t="s">
        <v>73</v>
      </c>
      <c r="D8" s="31" t="s">
        <v>112</v>
      </c>
      <c r="E8" s="110" t="s">
        <v>96</v>
      </c>
      <c r="F8" s="110"/>
      <c r="G8" s="110"/>
      <c r="H8" s="110"/>
      <c r="I8" s="38"/>
      <c r="K8" s="87"/>
      <c r="N8" s="45" t="b">
        <f>AND(D8&lt;&gt;"SI",D8&lt;&gt;"NO")</f>
        <v>0</v>
      </c>
      <c r="X8" s="66"/>
      <c r="Y8" s="88"/>
    </row>
    <row r="9" spans="2:25" ht="5.25" customHeight="1" thickBot="1" x14ac:dyDescent="0.3">
      <c r="E9" s="32"/>
      <c r="F9" s="32"/>
      <c r="G9" s="32"/>
      <c r="H9" s="32"/>
      <c r="I9" s="32"/>
      <c r="N9" s="45"/>
    </row>
    <row r="10" spans="2:25" ht="18.75" x14ac:dyDescent="0.25">
      <c r="B10" s="81" t="s">
        <v>86</v>
      </c>
      <c r="C10" s="12" t="s">
        <v>66</v>
      </c>
      <c r="D10" s="64">
        <v>44713</v>
      </c>
      <c r="E10" s="110" t="s">
        <v>97</v>
      </c>
      <c r="F10" s="110"/>
      <c r="G10" s="110"/>
      <c r="H10" s="110"/>
      <c r="I10" s="38"/>
      <c r="K10" s="34" t="s">
        <v>113</v>
      </c>
      <c r="L10" s="35" t="s">
        <v>26</v>
      </c>
      <c r="M10" s="27"/>
      <c r="N10" s="45" t="b">
        <f>OR(D10&lt;41275,D10&gt;D11)</f>
        <v>0</v>
      </c>
      <c r="X10" s="66"/>
      <c r="Y10" s="88"/>
    </row>
    <row r="11" spans="2:25" ht="19.5" thickBot="1" x14ac:dyDescent="0.3">
      <c r="B11" s="81" t="s">
        <v>87</v>
      </c>
      <c r="C11" s="12" t="s">
        <v>47</v>
      </c>
      <c r="D11" s="64">
        <v>44713</v>
      </c>
      <c r="E11" s="110" t="s">
        <v>98</v>
      </c>
      <c r="F11" s="110"/>
      <c r="G11" s="110"/>
      <c r="H11" s="110"/>
      <c r="I11" s="38"/>
      <c r="K11" s="36">
        <f>IF(AND(D11&gt;CONCATENATE("31/07/",YEAR(D11))*1,CONCATENATE("04/09/",YEAR(D11))*1&gt;D11)=TRUE,CONCATENATE("04/09/",YEAR(D11))*1,D11)</f>
        <v>44713</v>
      </c>
      <c r="L11" s="37">
        <f>K11</f>
        <v>44713</v>
      </c>
      <c r="M11" s="28"/>
      <c r="N11" s="45" t="b">
        <f ca="1">OR(D10&gt;D11,D11&gt;TODAY())</f>
        <v>0</v>
      </c>
      <c r="X11" s="66"/>
    </row>
    <row r="12" spans="2:25" ht="5.25" customHeight="1" thickBot="1" x14ac:dyDescent="0.3">
      <c r="E12" s="32"/>
      <c r="F12" s="32"/>
      <c r="G12" s="32"/>
      <c r="H12" s="32"/>
      <c r="I12" s="32"/>
      <c r="N12" s="45"/>
    </row>
    <row r="13" spans="2:25" ht="18" customHeight="1" thickBot="1" x14ac:dyDescent="0.3">
      <c r="B13" s="81" t="s">
        <v>88</v>
      </c>
      <c r="C13" s="11" t="s">
        <v>22</v>
      </c>
      <c r="D13" s="83">
        <f>IF(ISERROR('2 - Calcolo debito residuo'!G25)=TRUE,0,'2 - Calcolo debito residuo'!G25)</f>
        <v>52955.270000000004</v>
      </c>
      <c r="E13" s="110" t="s">
        <v>108</v>
      </c>
      <c r="F13" s="110"/>
      <c r="G13" s="110"/>
      <c r="H13" s="110"/>
      <c r="I13" s="38"/>
      <c r="K13" s="85">
        <f>IF(D14&gt;0,D14,D13)</f>
        <v>52955.270000000004</v>
      </c>
      <c r="L13" s="29"/>
      <c r="N13" s="45" t="b">
        <f>OR(K13&lt;=0,K13="")</f>
        <v>0</v>
      </c>
    </row>
    <row r="14" spans="2:25" ht="18" customHeight="1" x14ac:dyDescent="0.25">
      <c r="B14" s="81" t="s">
        <v>89</v>
      </c>
      <c r="C14" s="12" t="s">
        <v>95</v>
      </c>
      <c r="D14" s="84">
        <v>0</v>
      </c>
      <c r="E14" s="110" t="s">
        <v>99</v>
      </c>
      <c r="F14" s="110"/>
      <c r="G14" s="110"/>
      <c r="H14" s="110"/>
      <c r="I14" s="38"/>
      <c r="K14" s="86"/>
      <c r="L14" s="29"/>
      <c r="N14" s="45" t="b">
        <f>OR(AND(ISNUMBER(D14)=TRUE,D14&gt;0),D14="",D14=0)</f>
        <v>1</v>
      </c>
    </row>
    <row r="15" spans="2:25" ht="5.25" customHeight="1" thickBot="1" x14ac:dyDescent="0.3">
      <c r="E15" s="33"/>
      <c r="F15" s="33"/>
      <c r="G15" s="33"/>
      <c r="H15" s="33"/>
      <c r="I15" s="33"/>
      <c r="N15" s="45"/>
    </row>
    <row r="16" spans="2:25" ht="18.75" x14ac:dyDescent="0.25">
      <c r="B16" s="81" t="s">
        <v>90</v>
      </c>
      <c r="C16" s="12" t="s">
        <v>81</v>
      </c>
      <c r="D16" s="65">
        <v>3</v>
      </c>
      <c r="E16" s="109" t="s">
        <v>100</v>
      </c>
      <c r="F16" s="109"/>
      <c r="G16" s="109"/>
      <c r="H16" s="109"/>
      <c r="I16" s="39"/>
      <c r="K16" s="89" t="s">
        <v>114</v>
      </c>
      <c r="N16" s="45" t="b">
        <f>OR(D16&lt;1,D16&gt;D17,ISNUMBER(D16)=FALSE)</f>
        <v>0</v>
      </c>
    </row>
    <row r="17" spans="2:21" ht="19.5" thickBot="1" x14ac:dyDescent="0.3">
      <c r="B17" s="81" t="s">
        <v>94</v>
      </c>
      <c r="C17" s="12" t="s">
        <v>102</v>
      </c>
      <c r="D17" s="65">
        <v>20</v>
      </c>
      <c r="E17" s="109" t="s">
        <v>103</v>
      </c>
      <c r="F17" s="109"/>
      <c r="G17" s="109"/>
      <c r="H17" s="109"/>
      <c r="I17" s="39"/>
      <c r="K17" s="90">
        <f>IF(OR(AND(CONCATENATE(DAY(IF(D8="NO",K11+30,K11+90)),MONTH(IF(D8="NO",K11+30,K11+90)))="317",WEEKDAY(IF(D8="NO",K11+30,K11+90),2)=6)=TRUE,AND(CONCATENATE(DAY(IF(D8="NO",K11+30,K11+90)),MONTH(IF(D8="NO",K11+30,K11+90)))="317",WEEKDAY(IF(D8="NO",K11+30,K11+90),2)=7)=TRUE,AND(CONCATENATE(DAY(IF(D8="NO",K11+30,K11+90)),MONTH(IF(D8="NO",K11+30,K11+90)))="307",WEEKDAY(IF(D8="NO",K11+30,K11+90),2)=6)=TRUE),CONCATENATE("01/08/",YEAR(IF(D8="NO",K11+30,K11+90)))*1,IF(D8="NO",K11+30,K11+90))</f>
        <v>44743</v>
      </c>
      <c r="N17" s="46" t="b">
        <f>OR(D17&lt;D16,D17&gt;20,ISNUMBER(D17)=FALSE)</f>
        <v>0</v>
      </c>
    </row>
    <row r="18" spans="2:21" ht="5.25" customHeight="1" thickBot="1" x14ac:dyDescent="0.3"/>
    <row r="19" spans="2:21" ht="30" x14ac:dyDescent="0.25">
      <c r="C19" s="54"/>
      <c r="D19" s="30" t="s">
        <v>42</v>
      </c>
      <c r="E19" s="10" t="s">
        <v>41</v>
      </c>
      <c r="F19" s="10" t="s">
        <v>26</v>
      </c>
      <c r="G19" s="6" t="s">
        <v>43</v>
      </c>
      <c r="H19" s="6" t="s">
        <v>44</v>
      </c>
      <c r="I19" s="40"/>
      <c r="K19" s="47" t="s">
        <v>115</v>
      </c>
      <c r="L19" s="35" t="s">
        <v>26</v>
      </c>
      <c r="M19" s="48"/>
      <c r="N19" s="49" t="s">
        <v>116</v>
      </c>
      <c r="O19" s="48" t="s">
        <v>26</v>
      </c>
      <c r="P19" s="49"/>
      <c r="Q19" s="35"/>
      <c r="S19" s="98" t="s">
        <v>74</v>
      </c>
      <c r="T19" s="98"/>
      <c r="U19" s="98"/>
    </row>
    <row r="20" spans="2:21" s="3" customFormat="1" ht="15.75" thickBot="1" x14ac:dyDescent="0.3">
      <c r="B20" s="80"/>
      <c r="C20" s="57" t="str">
        <f t="shared" ref="C20:C39" ca="1" si="0">IF(AND(YEAR(E20)&lt;2023,G20&gt;0)=TRUE,"Attenzione!! Rata già scaduta al 31/12/2022 (*)",IF(AND(TODAY()&gt;E20,YEAR(E20)&gt;2022,G20&gt;0)=TRUE,CONCATENATE(" Attenzione! Rata già scaduta alla data odierna (",TEXT(TODAY(),"gg/mm/aaaa"),") (***)"),IF(AND(YEAR(E20)&gt;2022,G20=0,D20&lt;=$D$17)=TRUE,"Attenzione! Rata scadente negli anni 2023 e successivi non selezionata (**)","")))</f>
        <v/>
      </c>
      <c r="D20" s="20">
        <v>1</v>
      </c>
      <c r="E20" s="21">
        <f>IF(OR(AND(D8="NO",D11&gt;=43867,43952&gt;=D11),AND(D8="SI",D11&gt;=43807,43892&gt;=D11)),44090,N20)</f>
        <v>44743</v>
      </c>
      <c r="F20" s="22">
        <f t="shared" ref="F20:F39" si="1">E20</f>
        <v>44743</v>
      </c>
      <c r="G20" s="1">
        <f>IF(D20=$D$16,$K$13-SUM(G21:G39),IF(OR($D$16&gt;D20,D20&gt;$D$17)=TRUE,0,TRUNC($K$13/($D$17-$D$16+1),2)))</f>
        <v>0</v>
      </c>
      <c r="H20" s="1">
        <v>0</v>
      </c>
      <c r="I20" s="41"/>
      <c r="K20" s="59">
        <f>IF(AND(CONCATENATE("01/08/",YEAR(K11))*1&gt;K11,K17&gt;CONCATENATE("31/07/",YEAR(K17))*1),K17+35,K17)</f>
        <v>44743</v>
      </c>
      <c r="L20" s="60">
        <f>K20</f>
        <v>44743</v>
      </c>
      <c r="M20" s="61"/>
      <c r="N20" s="62">
        <f>IF(OR(WEEKDAY(K20,2)=6,WEEKDAY(K20,2)=7,ISERROR(VLOOKUP(K20,FESTE!C:C,1,FALSE))=FALSE)=TRUE,WORKDAY.INTL(K20,1,1,FESTE!$C$2:$C$199),K20)</f>
        <v>44743</v>
      </c>
      <c r="O20" s="61">
        <f>N20</f>
        <v>44743</v>
      </c>
      <c r="P20" s="62"/>
      <c r="Q20" s="60"/>
      <c r="S20" s="20">
        <f ca="1">IF(LEFT(C20,12)="Attenzione! ",100,0)</f>
        <v>0</v>
      </c>
      <c r="T20" s="20">
        <f ca="1">IF(LEFT(C20,12)="Attenzione!!",100,0)</f>
        <v>0</v>
      </c>
      <c r="U20" s="20">
        <f ca="1">IF(LEFT(C20,13)=" Attenzione! ",100,0)</f>
        <v>0</v>
      </c>
    </row>
    <row r="21" spans="2:21" x14ac:dyDescent="0.25">
      <c r="C21" s="57" t="str">
        <f t="shared" ca="1" si="0"/>
        <v/>
      </c>
      <c r="D21" s="20">
        <v>2</v>
      </c>
      <c r="E21" s="21">
        <f>IF(OR(WEEKDAY(EOMONTH(E20,3),2)=6,WEEKDAY(EOMONTH(E20,3),2)=7,ISERROR(VLOOKUP(EOMONTH(E20,3),FESTE!J:J,1,FALSE))=FALSE)=TRUE,WORKDAY.INTL(EOMONTH(E20,3),1,1,FESTE!$J$2:$J$523),EOMONTH(E20,3))</f>
        <v>44865</v>
      </c>
      <c r="F21" s="22">
        <f t="shared" si="1"/>
        <v>44865</v>
      </c>
      <c r="G21" s="1">
        <f>IF(D21=$D$16,$K$13-SUM(G22:G39),IF(OR($D$16&gt;D21,D21&gt;$D$17)=TRUE,0,TRUNC($K$13/($D$17-$D$16+1),2)))</f>
        <v>0</v>
      </c>
      <c r="H21" s="1">
        <f t="shared" ref="H21:H39" si="2">ROUND(G21*0.035*(K21-EOMONTH($D$10,1))/365,2)</f>
        <v>0</v>
      </c>
      <c r="I21" s="41"/>
      <c r="K21" s="50">
        <f>EOMONTH(E20,3)</f>
        <v>44865</v>
      </c>
      <c r="L21" s="51">
        <f>K21</f>
        <v>44865</v>
      </c>
      <c r="M21" s="28"/>
      <c r="S21" s="20">
        <f t="shared" ref="S21:S39" ca="1" si="3">IF(LEFT(C21,12)="Attenzione! ",100,0)</f>
        <v>0</v>
      </c>
      <c r="T21" s="20">
        <f t="shared" ref="T21:T39" ca="1" si="4">IF(LEFT(C21,12)="Attenzione!!",100,0)</f>
        <v>0</v>
      </c>
      <c r="U21" s="20">
        <f t="shared" ref="U21:U39" ca="1" si="5">IF(LEFT(C21,13)=" Attenzione! ",100,0)</f>
        <v>0</v>
      </c>
    </row>
    <row r="22" spans="2:21" x14ac:dyDescent="0.25">
      <c r="C22" s="57" t="str">
        <f t="shared" ca="1" si="0"/>
        <v xml:space="preserve"> Attenzione! Rata già scaduta alla data odierna (08/02/2023) (***)</v>
      </c>
      <c r="D22" s="20">
        <v>3</v>
      </c>
      <c r="E22" s="21">
        <f>IF(OR(WEEKDAY(EOMONTH(E20,6),2)=6,WEEKDAY(EOMONTH(E20,6),2)=7,ISERROR(VLOOKUP(EOMONTH(E20,6),FESTE!J:J,1,FALSE))=FALSE)=TRUE,WORKDAY.INTL(EOMONTH(E20,6),1,1,FESTE!$J$2:$J$523),EOMONTH(E20,6))</f>
        <v>44957</v>
      </c>
      <c r="F22" s="22">
        <f t="shared" si="1"/>
        <v>44957</v>
      </c>
      <c r="G22" s="1">
        <f>IF(D22=$D$16,$K$13-SUM(G23:G39),IF(OR($D$16&gt;D22,D22&gt;$D$17)=TRUE,0,TRUNC($K$13/($D$17-$D$16+1),2)))</f>
        <v>2942.1200000000172</v>
      </c>
      <c r="H22" s="1">
        <f t="shared" si="2"/>
        <v>51.91</v>
      </c>
      <c r="I22" s="41"/>
      <c r="K22" s="52">
        <f>EOMONTH(E20,6)</f>
        <v>44957</v>
      </c>
      <c r="L22" s="53">
        <f t="shared" ref="L22:L39" si="6">K22</f>
        <v>44957</v>
      </c>
      <c r="M22" s="28"/>
      <c r="S22" s="20">
        <f t="shared" ca="1" si="3"/>
        <v>0</v>
      </c>
      <c r="T22" s="20">
        <f t="shared" ca="1" si="4"/>
        <v>0</v>
      </c>
      <c r="U22" s="20">
        <f t="shared" ca="1" si="5"/>
        <v>100</v>
      </c>
    </row>
    <row r="23" spans="2:21" x14ac:dyDescent="0.25">
      <c r="C23" s="57" t="str">
        <f t="shared" ca="1" si="0"/>
        <v/>
      </c>
      <c r="D23" s="20">
        <v>4</v>
      </c>
      <c r="E23" s="21">
        <f>IF(OR(WEEKDAY(EOMONTH(E20,9),2)=6,WEEKDAY(EOMONTH(E20,9),2)=7,ISERROR(VLOOKUP(EOMONTH(E20,9),FESTE!J:J,1,FALSE))=FALSE)=TRUE,WORKDAY.INTL(EOMONTH(E20,9),1,1,FESTE!$J$2:$J$523),EOMONTH(E20,9))</f>
        <v>45048</v>
      </c>
      <c r="F23" s="22">
        <f t="shared" si="1"/>
        <v>45048</v>
      </c>
      <c r="G23" s="1">
        <f>IF(D23=$D$16,$K$13-SUM(G24:G39),IF(OR($D$16&gt;D23,D23&gt;$D$17)=TRUE,0,TRUNC($K$13/($D$17-$D$16+1),2)))</f>
        <v>2941.95</v>
      </c>
      <c r="H23" s="1">
        <f t="shared" si="2"/>
        <v>77.010000000000005</v>
      </c>
      <c r="I23" s="41"/>
      <c r="K23" s="52">
        <f>EOMONTH(E20,9)</f>
        <v>45046</v>
      </c>
      <c r="L23" s="53">
        <f t="shared" si="6"/>
        <v>45046</v>
      </c>
      <c r="M23" s="28"/>
      <c r="S23" s="20">
        <f t="shared" ca="1" si="3"/>
        <v>0</v>
      </c>
      <c r="T23" s="20">
        <f t="shared" ca="1" si="4"/>
        <v>0</v>
      </c>
      <c r="U23" s="20">
        <f t="shared" ca="1" si="5"/>
        <v>0</v>
      </c>
    </row>
    <row r="24" spans="2:21" x14ac:dyDescent="0.25">
      <c r="C24" s="57" t="str">
        <f t="shared" ca="1" si="0"/>
        <v/>
      </c>
      <c r="D24" s="20">
        <v>5</v>
      </c>
      <c r="E24" s="21">
        <f>IF(OR(WEEKDAY(EOMONTH(E20,12),2)=6,WEEKDAY(EOMONTH(E20,12),2)=7,ISERROR(VLOOKUP(EOMONTH(E20,12),FESTE!J:J,1,FALSE))=FALSE)=TRUE,WORKDAY.INTL(EOMONTH(E20,12),1,1,FESTE!$J$2:$J$523),EOMONTH(E20,12))</f>
        <v>45138</v>
      </c>
      <c r="F24" s="22">
        <f t="shared" si="1"/>
        <v>45138</v>
      </c>
      <c r="G24" s="1">
        <f>IF(D24=$D$16,$K$13-SUM(G25:G39),IF(OR($D$16&gt;D24,D24&gt;$D$17)=TRUE,0,TRUNC($K$13/($D$17-$D$16+1),2)))</f>
        <v>2941.95</v>
      </c>
      <c r="H24" s="1">
        <f t="shared" si="2"/>
        <v>102.97</v>
      </c>
      <c r="I24" s="41"/>
      <c r="K24" s="52">
        <f>EOMONTH(E20,12)</f>
        <v>45138</v>
      </c>
      <c r="L24" s="53">
        <f t="shared" si="6"/>
        <v>45138</v>
      </c>
      <c r="M24" s="28"/>
      <c r="S24" s="20">
        <f t="shared" ca="1" si="3"/>
        <v>0</v>
      </c>
      <c r="T24" s="20">
        <f t="shared" ca="1" si="4"/>
        <v>0</v>
      </c>
      <c r="U24" s="20">
        <f t="shared" ca="1" si="5"/>
        <v>0</v>
      </c>
    </row>
    <row r="25" spans="2:21" x14ac:dyDescent="0.25">
      <c r="C25" s="57" t="str">
        <f t="shared" ca="1" si="0"/>
        <v/>
      </c>
      <c r="D25" s="20">
        <v>6</v>
      </c>
      <c r="E25" s="21">
        <f>IF(OR(WEEKDAY(EOMONTH(E20,15),2)=6,WEEKDAY(EOMONTH(E20,15),2)=7,ISERROR(VLOOKUP(EOMONTH(E20,15),FESTE!J:J,1,FALSE))=FALSE)=TRUE,WORKDAY.INTL(EOMONTH(E20,15),1,1,FESTE!$J$2:$J$523),EOMONTH(E20,15))</f>
        <v>45230</v>
      </c>
      <c r="F25" s="22">
        <f t="shared" si="1"/>
        <v>45230</v>
      </c>
      <c r="G25" s="1">
        <f>IF(D25=$D$16,$K$13-SUM(G26:G39),IF(OR($D$16&gt;D25,D25&gt;$D$17)=TRUE,0,TRUNC($K$13/($D$17-$D$16+1),2)))</f>
        <v>2941.95</v>
      </c>
      <c r="H25" s="1">
        <f t="shared" si="2"/>
        <v>128.91999999999999</v>
      </c>
      <c r="I25" s="41"/>
      <c r="K25" s="52">
        <f>EOMONTH(E20,15)</f>
        <v>45230</v>
      </c>
      <c r="L25" s="53">
        <f t="shared" si="6"/>
        <v>45230</v>
      </c>
      <c r="M25" s="28"/>
      <c r="S25" s="20">
        <f t="shared" ca="1" si="3"/>
        <v>0</v>
      </c>
      <c r="T25" s="20">
        <f t="shared" ca="1" si="4"/>
        <v>0</v>
      </c>
      <c r="U25" s="20">
        <f t="shared" ca="1" si="5"/>
        <v>0</v>
      </c>
    </row>
    <row r="26" spans="2:21" x14ac:dyDescent="0.25">
      <c r="C26" s="57" t="str">
        <f t="shared" ca="1" si="0"/>
        <v/>
      </c>
      <c r="D26" s="20">
        <v>7</v>
      </c>
      <c r="E26" s="21">
        <f>IF(OR(WEEKDAY(EOMONTH(E20,18),2)=6,WEEKDAY(EOMONTH(E20,18),2)=7,ISERROR(VLOOKUP(EOMONTH(E20,18),FESTE!J:J,1,FALSE))=FALSE)=TRUE,WORKDAY.INTL(EOMONTH(E20,18),1,1,FESTE!$J$2:$J$523),EOMONTH(E20,18))</f>
        <v>45322</v>
      </c>
      <c r="F26" s="22">
        <f t="shared" si="1"/>
        <v>45322</v>
      </c>
      <c r="G26" s="1">
        <f>IF(D26=$D$16,$K$13-SUM(G27:G39),IF(OR($D$16&gt;D26,D26&gt;$D$17)=TRUE,0,TRUNC($K$13/($D$17-$D$16+1),2)))</f>
        <v>2941.95</v>
      </c>
      <c r="H26" s="1">
        <f t="shared" si="2"/>
        <v>154.88</v>
      </c>
      <c r="I26" s="41"/>
      <c r="K26" s="52">
        <f>EOMONTH(E20,18)</f>
        <v>45322</v>
      </c>
      <c r="L26" s="53">
        <f t="shared" si="6"/>
        <v>45322</v>
      </c>
      <c r="M26" s="28"/>
      <c r="S26" s="20">
        <f t="shared" ca="1" si="3"/>
        <v>0</v>
      </c>
      <c r="T26" s="20">
        <f t="shared" ca="1" si="4"/>
        <v>0</v>
      </c>
      <c r="U26" s="20">
        <f t="shared" ca="1" si="5"/>
        <v>0</v>
      </c>
    </row>
    <row r="27" spans="2:21" x14ac:dyDescent="0.25">
      <c r="C27" s="57" t="str">
        <f t="shared" ca="1" si="0"/>
        <v/>
      </c>
      <c r="D27" s="20">
        <v>8</v>
      </c>
      <c r="E27" s="21">
        <f>IF(OR(WEEKDAY(EOMONTH(E20,21),2)=6,WEEKDAY(EOMONTH(E20,21),2)=7,ISERROR(VLOOKUP(EOMONTH(E20,21),FESTE!J:J,1,FALSE))=FALSE)=TRUE,WORKDAY.INTL(EOMONTH(E20,21),1,1,FESTE!$J$2:$J$523),EOMONTH(E20,21))</f>
        <v>45412</v>
      </c>
      <c r="F27" s="22">
        <f t="shared" si="1"/>
        <v>45412</v>
      </c>
      <c r="G27" s="1">
        <f>IF(D27=$D$16,$K$13-SUM(G28:G39),IF(OR($D$16&gt;D27,D27&gt;$D$17)=TRUE,0,TRUNC($K$13/($D$17-$D$16+1),2)))</f>
        <v>2941.95</v>
      </c>
      <c r="H27" s="1">
        <f t="shared" si="2"/>
        <v>180.26</v>
      </c>
      <c r="I27" s="41"/>
      <c r="K27" s="52">
        <f>EOMONTH(E20,21)</f>
        <v>45412</v>
      </c>
      <c r="L27" s="53">
        <f t="shared" si="6"/>
        <v>45412</v>
      </c>
      <c r="M27" s="28"/>
      <c r="S27" s="20">
        <f t="shared" ca="1" si="3"/>
        <v>0</v>
      </c>
      <c r="T27" s="20">
        <f t="shared" ca="1" si="4"/>
        <v>0</v>
      </c>
      <c r="U27" s="20">
        <f t="shared" ca="1" si="5"/>
        <v>0</v>
      </c>
    </row>
    <row r="28" spans="2:21" x14ac:dyDescent="0.25">
      <c r="C28" s="57" t="str">
        <f t="shared" ca="1" si="0"/>
        <v/>
      </c>
      <c r="D28" s="20">
        <v>9</v>
      </c>
      <c r="E28" s="21">
        <f>IF(OR(WEEKDAY(EOMONTH(E20,24),2)=6,WEEKDAY(EOMONTH(E20,24),2)=7,ISERROR(VLOOKUP(EOMONTH(E20,24),FESTE!J:J,1,FALSE))=FALSE)=TRUE,WORKDAY.INTL(EOMONTH(E20,24),1,1,FESTE!$J$2:$J$523),EOMONTH(E20,24))</f>
        <v>45504</v>
      </c>
      <c r="F28" s="22">
        <f t="shared" si="1"/>
        <v>45504</v>
      </c>
      <c r="G28" s="1">
        <f>IF(D28=$D$16,$K$13-SUM(G29:G39),IF(OR($D$16&gt;D28,D28&gt;$D$17)=TRUE,0,TRUNC($K$13/($D$17-$D$16+1),2)))</f>
        <v>2941.95</v>
      </c>
      <c r="H28" s="1">
        <f t="shared" si="2"/>
        <v>206.22</v>
      </c>
      <c r="I28" s="41"/>
      <c r="K28" s="52">
        <f>EOMONTH(E20,24)</f>
        <v>45504</v>
      </c>
      <c r="L28" s="53">
        <f t="shared" si="6"/>
        <v>45504</v>
      </c>
      <c r="M28" s="28"/>
      <c r="S28" s="20">
        <f t="shared" ca="1" si="3"/>
        <v>0</v>
      </c>
      <c r="T28" s="20">
        <f t="shared" ca="1" si="4"/>
        <v>0</v>
      </c>
      <c r="U28" s="20">
        <f t="shared" ca="1" si="5"/>
        <v>0</v>
      </c>
    </row>
    <row r="29" spans="2:21" x14ac:dyDescent="0.25">
      <c r="C29" s="57" t="str">
        <f t="shared" ca="1" si="0"/>
        <v/>
      </c>
      <c r="D29" s="20">
        <v>10</v>
      </c>
      <c r="E29" s="21">
        <f>IF(OR(WEEKDAY(EOMONTH(E20,27),2)=6,WEEKDAY(EOMONTH(E20,27),2)=7,ISERROR(VLOOKUP(EOMONTH(E20,27),FESTE!J:J,1,FALSE))=FALSE)=TRUE,WORKDAY.INTL(EOMONTH(E20,27),1,1,FESTE!$J$2:$J$523),EOMONTH(E20,27))</f>
        <v>45596</v>
      </c>
      <c r="F29" s="22">
        <f t="shared" si="1"/>
        <v>45596</v>
      </c>
      <c r="G29" s="1">
        <f>IF(D29=$D$16,$K$13-SUM(G30:G39),IF(OR($D$16&gt;D29,D29&gt;$D$17)=TRUE,0,TRUNC($K$13/($D$17-$D$16+1),2)))</f>
        <v>2941.95</v>
      </c>
      <c r="H29" s="1">
        <f t="shared" si="2"/>
        <v>232.17</v>
      </c>
      <c r="I29" s="41"/>
      <c r="K29" s="52">
        <f>EOMONTH(E20,27)</f>
        <v>45596</v>
      </c>
      <c r="L29" s="53">
        <f t="shared" si="6"/>
        <v>45596</v>
      </c>
      <c r="M29" s="28"/>
      <c r="S29" s="20">
        <f t="shared" ca="1" si="3"/>
        <v>0</v>
      </c>
      <c r="T29" s="20">
        <f t="shared" ca="1" si="4"/>
        <v>0</v>
      </c>
      <c r="U29" s="20">
        <f t="shared" ca="1" si="5"/>
        <v>0</v>
      </c>
    </row>
    <row r="30" spans="2:21" x14ac:dyDescent="0.25">
      <c r="C30" s="57" t="str">
        <f t="shared" ca="1" si="0"/>
        <v/>
      </c>
      <c r="D30" s="20">
        <v>11</v>
      </c>
      <c r="E30" s="21">
        <f>IF(OR(WEEKDAY(EOMONTH(E20,30),2)=6,WEEKDAY(EOMONTH(E20,30),2)=7,ISERROR(VLOOKUP(EOMONTH(E20,30),FESTE!J:J,1,FALSE))=FALSE)=TRUE,WORKDAY.INTL(EOMONTH(E20,30),1,1,FESTE!$J$2:$J$523),EOMONTH(E20,30))</f>
        <v>45688</v>
      </c>
      <c r="F30" s="22">
        <f t="shared" si="1"/>
        <v>45688</v>
      </c>
      <c r="G30" s="1">
        <f>IF(D30=$D$16,$K$13-SUM(G31:G39),IF(OR($D$16&gt;D30,D30&gt;$D$17)=TRUE,0,TRUNC($K$13/($D$17-$D$16+1),2)))</f>
        <v>2941.95</v>
      </c>
      <c r="H30" s="1">
        <f t="shared" si="2"/>
        <v>258.13</v>
      </c>
      <c r="I30" s="41"/>
      <c r="K30" s="52">
        <f>EOMONTH(E20,30)</f>
        <v>45688</v>
      </c>
      <c r="L30" s="53">
        <f t="shared" si="6"/>
        <v>45688</v>
      </c>
      <c r="M30" s="28"/>
      <c r="S30" s="20">
        <f t="shared" ca="1" si="3"/>
        <v>0</v>
      </c>
      <c r="T30" s="20">
        <f t="shared" ca="1" si="4"/>
        <v>0</v>
      </c>
      <c r="U30" s="20">
        <f t="shared" ca="1" si="5"/>
        <v>0</v>
      </c>
    </row>
    <row r="31" spans="2:21" x14ac:dyDescent="0.25">
      <c r="C31" s="57" t="str">
        <f t="shared" ca="1" si="0"/>
        <v/>
      </c>
      <c r="D31" s="20">
        <v>12</v>
      </c>
      <c r="E31" s="21">
        <f>IF(OR(WEEKDAY(EOMONTH(E20,33),2)=6,WEEKDAY(EOMONTH(E20,33),2)=7,ISERROR(VLOOKUP(EOMONTH(E20,33),FESTE!J:J,1,FALSE))=FALSE)=TRUE,WORKDAY.INTL(EOMONTH(E20,33),1,1,FESTE!$J$2:$J$523),EOMONTH(E20,33))</f>
        <v>45777</v>
      </c>
      <c r="F31" s="22">
        <f t="shared" si="1"/>
        <v>45777</v>
      </c>
      <c r="G31" s="1">
        <f>IF(D31=$D$16,$K$13-SUM(G32:G39),IF(OR($D$16&gt;D31,D31&gt;$D$17)=TRUE,0,TRUNC($K$13/($D$17-$D$16+1),2)))</f>
        <v>2941.95</v>
      </c>
      <c r="H31" s="1">
        <f t="shared" si="2"/>
        <v>283.23</v>
      </c>
      <c r="I31" s="41"/>
      <c r="K31" s="52">
        <f>EOMONTH(E20,33)</f>
        <v>45777</v>
      </c>
      <c r="L31" s="53">
        <f t="shared" si="6"/>
        <v>45777</v>
      </c>
      <c r="M31" s="28"/>
      <c r="S31" s="20">
        <f t="shared" ca="1" si="3"/>
        <v>0</v>
      </c>
      <c r="T31" s="20">
        <f t="shared" ca="1" si="4"/>
        <v>0</v>
      </c>
      <c r="U31" s="20">
        <f t="shared" ca="1" si="5"/>
        <v>0</v>
      </c>
    </row>
    <row r="32" spans="2:21" x14ac:dyDescent="0.25">
      <c r="C32" s="57" t="str">
        <f t="shared" ca="1" si="0"/>
        <v/>
      </c>
      <c r="D32" s="20">
        <v>13</v>
      </c>
      <c r="E32" s="21">
        <f>IF(OR(WEEKDAY(EOMONTH(E20,36),2)=6,WEEKDAY(EOMONTH(E20,36),2)=7,ISERROR(VLOOKUP(EOMONTH(E20,36),FESTE!J:J,1,FALSE))=FALSE)=TRUE,WORKDAY.INTL(EOMONTH(E20,36),1,1,FESTE!$J$2:$J$523),EOMONTH(E20,36))</f>
        <v>45869</v>
      </c>
      <c r="F32" s="22">
        <f t="shared" si="1"/>
        <v>45869</v>
      </c>
      <c r="G32" s="1">
        <f>IF(D32=$D$16,$K$13-SUM(G33:G39),IF(OR($D$16&gt;D32,D32&gt;$D$17)=TRUE,0,TRUNC($K$13/($D$17-$D$16+1),2)))</f>
        <v>2941.95</v>
      </c>
      <c r="H32" s="1">
        <f t="shared" si="2"/>
        <v>309.19</v>
      </c>
      <c r="I32" s="41"/>
      <c r="K32" s="52">
        <f>EOMONTH(E20,36)</f>
        <v>45869</v>
      </c>
      <c r="L32" s="53">
        <f t="shared" si="6"/>
        <v>45869</v>
      </c>
      <c r="M32" s="28"/>
      <c r="S32" s="20">
        <f t="shared" ca="1" si="3"/>
        <v>0</v>
      </c>
      <c r="T32" s="20">
        <f t="shared" ca="1" si="4"/>
        <v>0</v>
      </c>
      <c r="U32" s="20">
        <f t="shared" ca="1" si="5"/>
        <v>0</v>
      </c>
    </row>
    <row r="33" spans="3:21" x14ac:dyDescent="0.25">
      <c r="C33" s="57" t="str">
        <f t="shared" ca="1" si="0"/>
        <v/>
      </c>
      <c r="D33" s="20">
        <v>14</v>
      </c>
      <c r="E33" s="21">
        <f>IF(OR(WEEKDAY(EOMONTH(E20,39),2)=6,WEEKDAY(EOMONTH(E20,39),2)=7,ISERROR(VLOOKUP(EOMONTH(E20,39),FESTE!J:J,1,FALSE))=FALSE)=TRUE,WORKDAY.INTL(EOMONTH(E20,39),1,1,FESTE!$J$2:$J$523),EOMONTH(E20,39))</f>
        <v>45961</v>
      </c>
      <c r="F33" s="22">
        <f t="shared" si="1"/>
        <v>45961</v>
      </c>
      <c r="G33" s="1">
        <f>IF(D33=$D$16,$K$13-SUM(G34:G39),IF(OR($D$16&gt;D33,D33&gt;$D$17)=TRUE,0,TRUNC($K$13/($D$17-$D$16+1),2)))</f>
        <v>2941.95</v>
      </c>
      <c r="H33" s="1">
        <f t="shared" si="2"/>
        <v>335.14</v>
      </c>
      <c r="I33" s="41"/>
      <c r="K33" s="52">
        <f>EOMONTH(E20,39)</f>
        <v>45961</v>
      </c>
      <c r="L33" s="53">
        <f t="shared" si="6"/>
        <v>45961</v>
      </c>
      <c r="M33" s="28"/>
      <c r="S33" s="20">
        <f t="shared" ca="1" si="3"/>
        <v>0</v>
      </c>
      <c r="T33" s="20">
        <f t="shared" ca="1" si="4"/>
        <v>0</v>
      </c>
      <c r="U33" s="20">
        <f t="shared" ca="1" si="5"/>
        <v>0</v>
      </c>
    </row>
    <row r="34" spans="3:21" x14ac:dyDescent="0.25">
      <c r="C34" s="57" t="str">
        <f t="shared" ca="1" si="0"/>
        <v/>
      </c>
      <c r="D34" s="20">
        <v>15</v>
      </c>
      <c r="E34" s="21">
        <f>IF(OR(WEEKDAY(EOMONTH(E20,42),2)=6,WEEKDAY(EOMONTH(E20,42),2)=7,ISERROR(VLOOKUP(EOMONTH(E20,42),FESTE!J:J,1,FALSE))=FALSE)=TRUE,WORKDAY.INTL(EOMONTH(E20,42),1,1,FESTE!$J$2:$J$523),EOMONTH(E20,42))</f>
        <v>46055</v>
      </c>
      <c r="F34" s="22">
        <f t="shared" si="1"/>
        <v>46055</v>
      </c>
      <c r="G34" s="1">
        <f>IF(D34=$D$16,$K$13-SUM(G35:G39),IF(OR($D$16&gt;D34,D34&gt;$D$17)=TRUE,0,TRUNC($K$13/($D$17-$D$16+1),2)))</f>
        <v>2941.95</v>
      </c>
      <c r="H34" s="1">
        <f t="shared" si="2"/>
        <v>361.09</v>
      </c>
      <c r="I34" s="41"/>
      <c r="K34" s="52">
        <f>EOMONTH(E20,42)</f>
        <v>46053</v>
      </c>
      <c r="L34" s="53">
        <f t="shared" si="6"/>
        <v>46053</v>
      </c>
      <c r="M34" s="28"/>
      <c r="S34" s="20">
        <f t="shared" ca="1" si="3"/>
        <v>0</v>
      </c>
      <c r="T34" s="20">
        <f t="shared" ca="1" si="4"/>
        <v>0</v>
      </c>
      <c r="U34" s="20">
        <f t="shared" ca="1" si="5"/>
        <v>0</v>
      </c>
    </row>
    <row r="35" spans="3:21" x14ac:dyDescent="0.25">
      <c r="C35" s="57" t="str">
        <f t="shared" ca="1" si="0"/>
        <v/>
      </c>
      <c r="D35" s="20">
        <v>16</v>
      </c>
      <c r="E35" s="21">
        <f>IF(OR(WEEKDAY(EOMONTH(E20,45),2)=6,WEEKDAY(EOMONTH(E20,45),2)=7,ISERROR(VLOOKUP(EOMONTH(E20,45),FESTE!J:J,1,FALSE))=FALSE)=TRUE,WORKDAY.INTL(EOMONTH(E20,45),1,1,FESTE!$J$2:$J$523),EOMONTH(E20,45))</f>
        <v>46142</v>
      </c>
      <c r="F35" s="22">
        <f t="shared" si="1"/>
        <v>46142</v>
      </c>
      <c r="G35" s="1">
        <f>IF(D35=$D$16,$K$13-SUM(G36:G39),IF(OR($D$16&gt;D35,D35&gt;$D$17)=TRUE,0,TRUNC($K$13/($D$17-$D$16+1),2)))</f>
        <v>2941.95</v>
      </c>
      <c r="H35" s="1">
        <f t="shared" si="2"/>
        <v>386.2</v>
      </c>
      <c r="I35" s="41"/>
      <c r="K35" s="52">
        <f>EOMONTH(E20,45)</f>
        <v>46142</v>
      </c>
      <c r="L35" s="53">
        <f t="shared" si="6"/>
        <v>46142</v>
      </c>
      <c r="M35" s="28"/>
      <c r="S35" s="20">
        <f t="shared" ca="1" si="3"/>
        <v>0</v>
      </c>
      <c r="T35" s="20">
        <f t="shared" ca="1" si="4"/>
        <v>0</v>
      </c>
      <c r="U35" s="20">
        <f t="shared" ca="1" si="5"/>
        <v>0</v>
      </c>
    </row>
    <row r="36" spans="3:21" x14ac:dyDescent="0.25">
      <c r="C36" s="57" t="str">
        <f t="shared" ca="1" si="0"/>
        <v/>
      </c>
      <c r="D36" s="20">
        <v>17</v>
      </c>
      <c r="E36" s="21">
        <f>IF(OR(WEEKDAY(EOMONTH(E20,48),2)=6,WEEKDAY(EOMONTH(E20,48),2)=7,ISERROR(VLOOKUP(EOMONTH(E20,48),FESTE!J:J,1,FALSE))=FALSE)=TRUE,WORKDAY.INTL(EOMONTH(E20,48),1,1,FESTE!$J$2:$J$523),EOMONTH(E20,48))</f>
        <v>46234</v>
      </c>
      <c r="F36" s="22">
        <f t="shared" si="1"/>
        <v>46234</v>
      </c>
      <c r="G36" s="1">
        <f>IF(D36=$D$16,$K$13-SUM(G37:G39),IF(OR($D$16&gt;D36,D36&gt;$D$17)=TRUE,0,TRUNC($K$13/($D$17-$D$16+1),2)))</f>
        <v>2941.95</v>
      </c>
      <c r="H36" s="1">
        <f t="shared" si="2"/>
        <v>412.16</v>
      </c>
      <c r="I36" s="41"/>
      <c r="K36" s="52">
        <f>EOMONTH(E20,48)</f>
        <v>46234</v>
      </c>
      <c r="L36" s="53">
        <f t="shared" si="6"/>
        <v>46234</v>
      </c>
      <c r="M36" s="28"/>
      <c r="S36" s="20">
        <f t="shared" ca="1" si="3"/>
        <v>0</v>
      </c>
      <c r="T36" s="20">
        <f t="shared" ca="1" si="4"/>
        <v>0</v>
      </c>
      <c r="U36" s="20">
        <f t="shared" ca="1" si="5"/>
        <v>0</v>
      </c>
    </row>
    <row r="37" spans="3:21" x14ac:dyDescent="0.25">
      <c r="C37" s="57" t="str">
        <f t="shared" ca="1" si="0"/>
        <v/>
      </c>
      <c r="D37" s="20">
        <v>18</v>
      </c>
      <c r="E37" s="21">
        <f>IF(OR(WEEKDAY(EOMONTH(E20,51),2)=6,WEEKDAY(EOMONTH(E20,51),2)=7,ISERROR(VLOOKUP(EOMONTH(E20,51),FESTE!J:J,1,FALSE))=FALSE)=TRUE,WORKDAY.INTL(EOMONTH(E20,51),1,1,FESTE!$J$2:$J$523),EOMONTH(E20,51))</f>
        <v>46328</v>
      </c>
      <c r="F37" s="22">
        <f t="shared" si="1"/>
        <v>46328</v>
      </c>
      <c r="G37" s="1">
        <f>IF(D37=$D$16,$K$13-SUM(G38:G39),IF(OR($D$16&gt;D37,D37&gt;$D$17)=TRUE,0,TRUNC($K$13/($D$17-$D$16+1),2)))</f>
        <v>2941.95</v>
      </c>
      <c r="H37" s="1">
        <f t="shared" si="2"/>
        <v>438.11</v>
      </c>
      <c r="I37" s="41"/>
      <c r="K37" s="52">
        <f>EOMONTH(E20,51)</f>
        <v>46326</v>
      </c>
      <c r="L37" s="53">
        <f t="shared" si="6"/>
        <v>46326</v>
      </c>
      <c r="M37" s="28"/>
      <c r="S37" s="20">
        <f t="shared" ca="1" si="3"/>
        <v>0</v>
      </c>
      <c r="T37" s="20">
        <f t="shared" ca="1" si="4"/>
        <v>0</v>
      </c>
      <c r="U37" s="20">
        <f t="shared" ca="1" si="5"/>
        <v>0</v>
      </c>
    </row>
    <row r="38" spans="3:21" x14ac:dyDescent="0.25">
      <c r="C38" s="57" t="str">
        <f t="shared" ca="1" si="0"/>
        <v/>
      </c>
      <c r="D38" s="20">
        <v>19</v>
      </c>
      <c r="E38" s="21">
        <f>IF(OR(WEEKDAY(EOMONTH(E20,54),2)=6,WEEKDAY(EOMONTH(E20,54),2)=7,ISERROR(VLOOKUP(EOMONTH(E20,54),FESTE!J:J,1,FALSE))=FALSE)=TRUE,WORKDAY.INTL(EOMONTH(E20,54),1,1,FESTE!$J$2:$J$523),EOMONTH(E20,54))</f>
        <v>46419</v>
      </c>
      <c r="F38" s="22">
        <f t="shared" si="1"/>
        <v>46419</v>
      </c>
      <c r="G38" s="1">
        <f>IF(D38=$D$16,$K$13-SUM(G39),IF(OR($D$16&gt;D38,D38&gt;$D$17)=TRUE,0,TRUNC($K$13/($D$17-$D$16+1),2)))</f>
        <v>2941.95</v>
      </c>
      <c r="H38" s="1">
        <f t="shared" si="2"/>
        <v>464.06</v>
      </c>
      <c r="I38" s="41"/>
      <c r="K38" s="52">
        <f>EOMONTH(E20,54)</f>
        <v>46418</v>
      </c>
      <c r="L38" s="53">
        <f t="shared" si="6"/>
        <v>46418</v>
      </c>
      <c r="M38" s="28"/>
      <c r="S38" s="20">
        <f t="shared" ca="1" si="3"/>
        <v>0</v>
      </c>
      <c r="T38" s="20">
        <f t="shared" ca="1" si="4"/>
        <v>0</v>
      </c>
      <c r="U38" s="20">
        <f t="shared" ca="1" si="5"/>
        <v>0</v>
      </c>
    </row>
    <row r="39" spans="3:21" ht="15.75" thickBot="1" x14ac:dyDescent="0.3">
      <c r="C39" s="57" t="str">
        <f t="shared" ca="1" si="0"/>
        <v/>
      </c>
      <c r="D39" s="20">
        <v>20</v>
      </c>
      <c r="E39" s="21">
        <f>IF(OR(WEEKDAY(EOMONTH(E20,57),2)=6,WEEKDAY(EOMONTH(E20,57),2)=7,ISERROR(VLOOKUP(EOMONTH(E20,57),FESTE!J:J,1,FALSE))=FALSE)=TRUE,WORKDAY.INTL(EOMONTH(E20,57),1,1,FESTE!$J$2:$J$523),EOMONTH(E20,57))</f>
        <v>46507</v>
      </c>
      <c r="F39" s="22">
        <f t="shared" si="1"/>
        <v>46507</v>
      </c>
      <c r="G39" s="1">
        <f>IF(D39=$D$16,$K$13,IF(OR($D$16&gt;D39,D39&gt;$D$17)=TRUE,0,TRUNC($K$13/($D$17-$D$16+1),2)))</f>
        <v>2941.95</v>
      </c>
      <c r="H39" s="1">
        <f t="shared" si="2"/>
        <v>489.17</v>
      </c>
      <c r="I39" s="41"/>
      <c r="K39" s="36">
        <f>EOMONTH(E20,57)</f>
        <v>46507</v>
      </c>
      <c r="L39" s="37">
        <f t="shared" si="6"/>
        <v>46507</v>
      </c>
      <c r="M39" s="28"/>
      <c r="S39" s="20">
        <f t="shared" ca="1" si="3"/>
        <v>0</v>
      </c>
      <c r="T39" s="20">
        <f t="shared" ca="1" si="4"/>
        <v>0</v>
      </c>
      <c r="U39" s="20">
        <f t="shared" ca="1" si="5"/>
        <v>0</v>
      </c>
    </row>
    <row r="40" spans="3:21" x14ac:dyDescent="0.25">
      <c r="D40" s="3"/>
      <c r="E40" s="4"/>
      <c r="F40" s="4" t="s">
        <v>45</v>
      </c>
      <c r="G40" s="19">
        <f>SUM(G20:G39)</f>
        <v>52955.270000000004</v>
      </c>
      <c r="S40" s="76">
        <f ca="1">SUM(S20:S39)</f>
        <v>0</v>
      </c>
      <c r="T40" s="76">
        <f ca="1">SUM(T20:T39)</f>
        <v>0</v>
      </c>
      <c r="U40" s="76">
        <f ca="1">SUM(U20:U39)</f>
        <v>100</v>
      </c>
    </row>
    <row r="41" spans="3:21" ht="7.5" customHeight="1" x14ac:dyDescent="0.25">
      <c r="D41" s="3"/>
      <c r="E41" s="66"/>
    </row>
    <row r="42" spans="3:21" ht="14.25" customHeight="1" x14ac:dyDescent="0.25">
      <c r="C42" s="108" t="str">
        <f ca="1">IF(T40&gt;99,"(*) ATTENZIONE! In base al valore indicato nel campo “N. rata iniziale del nuovo piano di rateazione”, ai fini dell’ammissione alla definizione agevolata risulterebbero da pagare una o più rate già scadute al 31/12/2022."&amp;" Si ricorda che tali rate non rientrano nella definizione agevolata. Per essere ammessi alla definizione agevolata delle rate scadenti negli anni 2023 e successivi,"&amp;" è necessario che le rate già scadute negli anni 2022 e precedenti siano state pagate entro la scadenza prevista o, al più tardi, entro la scadenza della rata successiva (ovvero, in caso di prima rata, entro i 7 giorni successivi alla scadenza).","")</f>
        <v/>
      </c>
      <c r="D42" s="108"/>
      <c r="E42" s="108"/>
      <c r="F42" s="108"/>
      <c r="G42" s="108"/>
      <c r="H42" s="108"/>
    </row>
    <row r="43" spans="3:21" ht="14.25" customHeight="1" x14ac:dyDescent="0.25">
      <c r="C43" s="108"/>
      <c r="D43" s="108"/>
      <c r="E43" s="108"/>
      <c r="F43" s="108"/>
      <c r="G43" s="108"/>
      <c r="H43" s="108"/>
    </row>
    <row r="44" spans="3:21" ht="14.25" customHeight="1" x14ac:dyDescent="0.25">
      <c r="C44" s="108"/>
      <c r="D44" s="108"/>
      <c r="E44" s="108"/>
      <c r="F44" s="108"/>
      <c r="G44" s="108"/>
      <c r="H44" s="108"/>
    </row>
    <row r="45" spans="3:21" ht="7.5" customHeight="1" x14ac:dyDescent="0.25">
      <c r="C45" s="55"/>
      <c r="D45" s="55"/>
      <c r="E45" s="55"/>
      <c r="F45" s="55"/>
      <c r="G45" s="55"/>
      <c r="H45" s="55"/>
    </row>
    <row r="46" spans="3:21" ht="14.25" customHeight="1" x14ac:dyDescent="0.25">
      <c r="C46" s="108" t="str">
        <f ca="1">IF(S40&gt;99,CONCATENATE("(**) ATTENZIONE! Il valore indicato nel campo “N. rata iniziale del nuovo piano di rateazione” non corrisponde alla prima rata avente scadenza nel 2023, a cui è applicabile la definizione agevolata."," Si ricorda che, per non decadere dalla definizione agevolata, le rate devono essere pagate entro la scadenza prevista o, al più tardi, entro la scadenza della rata successiva (ovvero, in caso di prima rata, entro i 7 giorni successivi alla scadenza)."),"")</f>
        <v/>
      </c>
      <c r="D46" s="108"/>
      <c r="E46" s="108"/>
      <c r="F46" s="108"/>
      <c r="G46" s="108"/>
      <c r="H46" s="108"/>
    </row>
    <row r="47" spans="3:21" ht="14.25" customHeight="1" x14ac:dyDescent="0.25">
      <c r="C47" s="108"/>
      <c r="D47" s="108"/>
      <c r="E47" s="108"/>
      <c r="F47" s="108"/>
      <c r="G47" s="108"/>
      <c r="H47" s="108"/>
    </row>
    <row r="48" spans="3:21" ht="6" customHeight="1" x14ac:dyDescent="0.25">
      <c r="C48" s="56"/>
      <c r="D48" s="56"/>
      <c r="E48" s="56"/>
      <c r="F48" s="56"/>
      <c r="G48" s="56"/>
      <c r="H48" s="56"/>
    </row>
    <row r="49" spans="2:8" ht="16.5" customHeight="1" x14ac:dyDescent="0.25">
      <c r="C49" s="108" t="str">
        <f ca="1">IF(U40&gt;99,"(***) ATTENZIONE! Si ricorda che, per non decadere dalla definizione agevolata, le rate devono essere pagate entro la scadenza prevista o, al più tardi," &amp; " entro la scadenza della rata successiva (ovvero, in caso di prima rata, entro i 7 giorni successivi alla scadenza).","")</f>
        <v>(***) ATTENZIONE! Si ricorda che, per non decadere dalla definizione agevolata, le rate devono essere pagate entro la scadenza prevista o, al più tardi, entro la scadenza della rata successiva (ovvero, in caso di prima rata, entro i 7 giorni successivi alla scadenza).</v>
      </c>
      <c r="D49" s="108"/>
      <c r="E49" s="108"/>
      <c r="F49" s="108"/>
      <c r="G49" s="108"/>
      <c r="H49" s="108"/>
    </row>
    <row r="50" spans="2:8" ht="16.5" customHeight="1" x14ac:dyDescent="0.25">
      <c r="C50" s="108"/>
      <c r="D50" s="108"/>
      <c r="E50" s="108"/>
      <c r="F50" s="108"/>
      <c r="G50" s="108"/>
      <c r="H50" s="108"/>
    </row>
    <row r="51" spans="2:8" ht="7.5" customHeight="1" x14ac:dyDescent="0.25"/>
    <row r="52" spans="2:8" ht="21.75" customHeight="1" x14ac:dyDescent="0.25">
      <c r="B52" s="102" t="s">
        <v>104</v>
      </c>
      <c r="C52" s="102"/>
      <c r="D52" s="102"/>
      <c r="E52" s="102"/>
      <c r="F52" s="102"/>
      <c r="G52" s="102"/>
      <c r="H52" s="102"/>
    </row>
    <row r="53" spans="2:8" ht="17.25" customHeight="1" x14ac:dyDescent="0.25">
      <c r="B53" s="98" t="s">
        <v>85</v>
      </c>
      <c r="C53" s="99" t="s">
        <v>91</v>
      </c>
      <c r="D53" s="99"/>
      <c r="E53" s="99"/>
      <c r="F53" s="99"/>
      <c r="G53" s="99"/>
      <c r="H53" s="99"/>
    </row>
    <row r="54" spans="2:8" ht="17.25" customHeight="1" x14ac:dyDescent="0.25">
      <c r="B54" s="98"/>
      <c r="C54" s="99"/>
      <c r="D54" s="99"/>
      <c r="E54" s="99"/>
      <c r="F54" s="99"/>
      <c r="G54" s="99"/>
      <c r="H54" s="99"/>
    </row>
    <row r="55" spans="2:8" ht="22.5" customHeight="1" x14ac:dyDescent="0.25">
      <c r="B55" s="81" t="s">
        <v>86</v>
      </c>
      <c r="C55" s="97" t="s">
        <v>92</v>
      </c>
      <c r="D55" s="97"/>
      <c r="E55" s="97"/>
      <c r="F55" s="97"/>
      <c r="G55" s="97"/>
      <c r="H55" s="97"/>
    </row>
    <row r="56" spans="2:8" ht="22.5" customHeight="1" x14ac:dyDescent="0.25">
      <c r="B56" s="81" t="s">
        <v>87</v>
      </c>
      <c r="C56" s="97" t="s">
        <v>93</v>
      </c>
      <c r="D56" s="97"/>
      <c r="E56" s="97"/>
      <c r="F56" s="97"/>
      <c r="G56" s="97"/>
      <c r="H56" s="97"/>
    </row>
    <row r="57" spans="2:8" ht="18.75" customHeight="1" x14ac:dyDescent="0.25">
      <c r="B57" s="106" t="s">
        <v>88</v>
      </c>
      <c r="C57" s="99" t="s">
        <v>106</v>
      </c>
      <c r="D57" s="99"/>
      <c r="E57" s="99"/>
      <c r="F57" s="99"/>
      <c r="G57" s="99"/>
      <c r="H57" s="99"/>
    </row>
    <row r="58" spans="2:8" ht="18.75" customHeight="1" x14ac:dyDescent="0.25">
      <c r="B58" s="107"/>
      <c r="C58" s="99"/>
      <c r="D58" s="99"/>
      <c r="E58" s="99"/>
      <c r="F58" s="99"/>
      <c r="G58" s="99"/>
      <c r="H58" s="99"/>
    </row>
    <row r="59" spans="2:8" ht="18.75" customHeight="1" x14ac:dyDescent="0.25">
      <c r="B59" s="106" t="s">
        <v>89</v>
      </c>
      <c r="C59" s="99" t="s">
        <v>109</v>
      </c>
      <c r="D59" s="99"/>
      <c r="E59" s="99"/>
      <c r="F59" s="99"/>
      <c r="G59" s="99"/>
      <c r="H59" s="99"/>
    </row>
    <row r="60" spans="2:8" ht="18.75" customHeight="1" x14ac:dyDescent="0.25">
      <c r="B60" s="107"/>
      <c r="C60" s="99"/>
      <c r="D60" s="99"/>
      <c r="E60" s="99"/>
      <c r="F60" s="99"/>
      <c r="G60" s="99"/>
      <c r="H60" s="99"/>
    </row>
    <row r="61" spans="2:8" ht="18.75" customHeight="1" x14ac:dyDescent="0.25">
      <c r="B61" s="106" t="s">
        <v>90</v>
      </c>
      <c r="C61" s="99" t="s">
        <v>111</v>
      </c>
      <c r="D61" s="99"/>
      <c r="E61" s="99"/>
      <c r="F61" s="99"/>
      <c r="G61" s="99"/>
      <c r="H61" s="99"/>
    </row>
    <row r="62" spans="2:8" ht="18.75" customHeight="1" x14ac:dyDescent="0.25">
      <c r="B62" s="107"/>
      <c r="C62" s="99"/>
      <c r="D62" s="99"/>
      <c r="E62" s="99"/>
      <c r="F62" s="99"/>
      <c r="G62" s="99"/>
      <c r="H62" s="99"/>
    </row>
    <row r="63" spans="2:8" ht="18.75" customHeight="1" x14ac:dyDescent="0.25">
      <c r="B63" s="106" t="s">
        <v>94</v>
      </c>
      <c r="C63" s="99" t="s">
        <v>105</v>
      </c>
      <c r="D63" s="99"/>
      <c r="E63" s="99"/>
      <c r="F63" s="99"/>
      <c r="G63" s="99"/>
      <c r="H63" s="99"/>
    </row>
    <row r="64" spans="2:8" ht="18.75" customHeight="1" x14ac:dyDescent="0.25">
      <c r="B64" s="107"/>
      <c r="C64" s="99"/>
      <c r="D64" s="99"/>
      <c r="E64" s="99"/>
      <c r="F64" s="99"/>
      <c r="G64" s="99"/>
      <c r="H64" s="99"/>
    </row>
  </sheetData>
  <sheetProtection password="85FD" sheet="1" objects="1" scenarios="1" selectLockedCells="1"/>
  <mergeCells count="27">
    <mergeCell ref="C49:H50"/>
    <mergeCell ref="S19:U19"/>
    <mergeCell ref="C42:H44"/>
    <mergeCell ref="C46:H47"/>
    <mergeCell ref="C1:H1"/>
    <mergeCell ref="E17:H17"/>
    <mergeCell ref="E16:H16"/>
    <mergeCell ref="E10:H10"/>
    <mergeCell ref="C2:H2"/>
    <mergeCell ref="C3:H3"/>
    <mergeCell ref="E13:H13"/>
    <mergeCell ref="E8:H8"/>
    <mergeCell ref="E11:H11"/>
    <mergeCell ref="E14:H14"/>
    <mergeCell ref="B63:B64"/>
    <mergeCell ref="C63:H64"/>
    <mergeCell ref="B52:H52"/>
    <mergeCell ref="B59:B60"/>
    <mergeCell ref="C59:H60"/>
    <mergeCell ref="B61:B62"/>
    <mergeCell ref="C61:H62"/>
    <mergeCell ref="B57:B58"/>
    <mergeCell ref="C57:H58"/>
    <mergeCell ref="B53:B54"/>
    <mergeCell ref="C53:H54"/>
    <mergeCell ref="C55:H55"/>
    <mergeCell ref="C56:H56"/>
  </mergeCells>
  <conditionalFormatting sqref="C19:H48 C49">
    <cfRule type="expression" dxfId="11" priority="18">
      <formula>$C$1&lt;&gt;""</formula>
    </cfRule>
  </conditionalFormatting>
  <conditionalFormatting sqref="C8">
    <cfRule type="expression" dxfId="10" priority="17">
      <formula>N8=TRUE</formula>
    </cfRule>
  </conditionalFormatting>
  <conditionalFormatting sqref="C10">
    <cfRule type="expression" dxfId="9" priority="7">
      <formula>N10=TRUE</formula>
    </cfRule>
  </conditionalFormatting>
  <conditionalFormatting sqref="C11">
    <cfRule type="expression" dxfId="8" priority="6">
      <formula>N11=TRUE</formula>
    </cfRule>
  </conditionalFormatting>
  <conditionalFormatting sqref="C16">
    <cfRule type="expression" dxfId="7" priority="5">
      <formula>N16=TRUE</formula>
    </cfRule>
  </conditionalFormatting>
  <conditionalFormatting sqref="C17">
    <cfRule type="expression" dxfId="6" priority="4">
      <formula>N17=TRUE</formula>
    </cfRule>
  </conditionalFormatting>
  <conditionalFormatting sqref="C14">
    <cfRule type="expression" dxfId="5" priority="3">
      <formula>OR(N14=FALSE,AND($D$13=0,$D$14=0))</formula>
    </cfRule>
  </conditionalFormatting>
  <conditionalFormatting sqref="D13">
    <cfRule type="expression" dxfId="4" priority="2">
      <formula>OR($D$14&gt;0,$D$13&lt;0)</formula>
    </cfRule>
  </conditionalFormatting>
  <conditionalFormatting sqref="E13:H13">
    <cfRule type="expression" dxfId="3" priority="1">
      <formula>$D$14&gt;0</formula>
    </cfRule>
  </conditionalFormatting>
  <dataValidations count="7">
    <dataValidation errorTitle="ERRORE" error="Numero di rate non valido. Indicare un valore non superiore a 20 e non inferiore al numero della rata da cui riparte il nuovo piano di rateazione." promptTitle="Numero rate piano dilazione" prompt="Indicare il numero di rate (max 20) in cui si vuole rateizzare il debito residuo (comprese le rate già versate/scadute). Indicare un valore non superiore a 20 e non inferiore al numero della rata da cui riparte il nuovo piano di rateazione." sqref="D17"/>
    <dataValidation errorTitle="ERRORE" error="Inserire una data non superiore alla data di consegna della comunicazione e non anteriore al 1° gennaio 2013." promptTitle="Data elaborazione comunicazione" prompt="Inserire una data non superiore alla data di consegna della comunicazione." sqref="D10"/>
    <dataValidation type="list" showErrorMessage="1" errorTitle="ERRORE" error="Valore non valido. Scegliere 'SI' o 'NO' dal menu a tendina." promptTitle="Metodo di consegna comunicazione" prompt="Indicare 'SI' se la comunicazione è stata ricevuta dall'intermediario tramite avviso telematico. Altrimenti, nel caso in cui la comunicazione sia stata recapitata tramite PEC o raccomandata, indicare 'NO'." sqref="D8">
      <formula1>"SI,NO"</formula1>
    </dataValidation>
    <dataValidation errorTitle="ERRORE" error="Inserire una data compresa tra la data di elaborazione della comunicazione e la data odierna." promptTitle="Data consegna comunicazione" prompt="Inserire una data compresa tra la data di elaborazione della comunicazione e la data odierna." sqref="D11"/>
    <dataValidation errorTitle="ERRORE" error="N. di rata iniziale non valida. Indicare un valore compreso tra 1 e il numero totale di rate in cui si vuole rateizzare il debito." promptTitle="Rata iniziale nuova dilazione" prompt="Indicare un valore compreso tra 1 e il numero totale di rate in cui si vuole rateizzare il debito residuo (comprese le rate già versate o scadute)." sqref="D16"/>
    <dataValidation operator="greaterThan" errorTitle="ERRORE" error="Inserire un valore maggiore di zero." sqref="D13"/>
    <dataValidation type="decimal" operator="greaterThanOrEqual" allowBlank="1" showErrorMessage="1" errorTitle="ERRORE" error="Inserire un valore maggiore o uguale a zero." sqref="D14">
      <formula1>0</formula1>
    </dataValidation>
  </dataValidations>
  <pageMargins left="0.51181102362204722" right="0.51181102362204722" top="0.55118110236220474" bottom="0.55118110236220474" header="0.31496062992125984" footer="0.31496062992125984"/>
  <pageSetup paperSize="9" scale="69" fitToHeight="2" orientation="landscape" r:id="rId1"/>
  <rowBreaks count="1" manualBreakCount="1">
    <brk id="50" min="1" max="7" man="1"/>
  </rowBreaks>
  <extLst>
    <ext xmlns:x14="http://schemas.microsoft.com/office/spreadsheetml/2009/9/main" uri="{78C0D931-6437-407d-A8EE-F0AAD7539E65}">
      <x14:conditionalFormattings>
        <x14:conditionalFormatting xmlns:xm="http://schemas.microsoft.com/office/excel/2006/main">
          <x14:cfRule type="expression" priority="33" id="{462CD00A-7F3B-4013-8550-BDB7C53A8B92}">
            <xm:f>ISERROR(VLOOKUP(IF(D8="NO",K11+30,K11+90),FESTE!$C:$C,1,FALSE))=FALSE</xm:f>
            <x14:dxf>
              <fill>
                <patternFill>
                  <bgColor rgb="FFFFC000"/>
                </patternFill>
              </fill>
            </x14:dxf>
          </x14:cfRule>
          <xm:sqref>K20</xm:sqref>
        </x14:conditionalFormatting>
        <x14:conditionalFormatting xmlns:xm="http://schemas.microsoft.com/office/excel/2006/main">
          <x14:cfRule type="expression" priority="34" id="{E855A1FF-790A-4725-AFC4-9A6B58A2644A}">
            <xm:f>ISERROR(VLOOKUP(IF(F8="NO",N11+30,N11+90),FESTE!$C:$C,1,FALSE))=FALSE</xm:f>
            <x14:dxf>
              <fill>
                <patternFill>
                  <bgColor rgb="FFFFC000"/>
                </patternFill>
              </fill>
            </x14:dxf>
          </x14:cfRule>
          <xm:sqref>N20</xm:sqref>
        </x14:conditionalFormatting>
        <x14:conditionalFormatting xmlns:xm="http://schemas.microsoft.com/office/excel/2006/main">
          <x14:cfRule type="expression" priority="35" id="{34AEC597-B88C-4442-B9D8-4A72CC924369}">
            <xm:f>ISERROR(VLOOKUP(IF(J8="NO",Q11+30,Q11+90),FESTE!$C:$C,1,FALSE))=FALSE</xm:f>
            <x14:dxf>
              <fill>
                <patternFill>
                  <bgColor rgb="FFFFC000"/>
                </patternFill>
              </fill>
            </x14:dxf>
          </x14:cfRule>
          <xm:sqref>P20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3"/>
  <sheetViews>
    <sheetView workbookViewId="0">
      <pane ySplit="1" topLeftCell="A2" activePane="bottomLeft" state="frozen"/>
      <selection pane="bottomLeft" activeCell="K1" sqref="K1"/>
    </sheetView>
  </sheetViews>
  <sheetFormatPr defaultRowHeight="15" x14ac:dyDescent="0.25"/>
  <cols>
    <col min="1" max="1" width="11.28515625" style="18" bestFit="1" customWidth="1"/>
    <col min="2" max="2" width="5.7109375" style="3" bestFit="1" customWidth="1"/>
    <col min="3" max="3" width="10.7109375" style="13" bestFit="1" customWidth="1"/>
    <col min="4" max="4" width="9.85546875" style="13" bestFit="1" customWidth="1"/>
    <col min="5" max="5" width="9.28515625" style="3" bestFit="1" customWidth="1"/>
    <col min="6" max="6" width="6.28515625" style="18" bestFit="1" customWidth="1"/>
    <col min="7" max="7" width="9.140625" style="3"/>
    <col min="8" max="8" width="11.28515625" style="18" bestFit="1" customWidth="1"/>
    <col min="9" max="9" width="5.7109375" style="3" bestFit="1" customWidth="1"/>
    <col min="10" max="10" width="10.7109375" style="13" bestFit="1" customWidth="1"/>
    <col min="11" max="11" width="9.85546875" style="13" bestFit="1" customWidth="1"/>
    <col min="12" max="12" width="9.28515625" style="3" bestFit="1" customWidth="1"/>
    <col min="13" max="13" width="6.28515625" style="18" bestFit="1" customWidth="1"/>
    <col min="14" max="16384" width="9.140625" style="3"/>
  </cols>
  <sheetData>
    <row r="1" spans="1:13" s="4" customFormat="1" x14ac:dyDescent="0.25">
      <c r="A1" s="17" t="s">
        <v>29</v>
      </c>
      <c r="B1" s="4" t="s">
        <v>27</v>
      </c>
      <c r="C1" s="16" t="s">
        <v>30</v>
      </c>
      <c r="D1" s="16" t="s">
        <v>40</v>
      </c>
      <c r="E1" s="16" t="s">
        <v>31</v>
      </c>
      <c r="F1" s="17" t="s">
        <v>39</v>
      </c>
      <c r="H1" s="17" t="s">
        <v>29</v>
      </c>
      <c r="I1" s="4" t="s">
        <v>27</v>
      </c>
      <c r="J1" s="16" t="s">
        <v>30</v>
      </c>
      <c r="K1" s="16" t="s">
        <v>40</v>
      </c>
      <c r="L1" s="16" t="s">
        <v>31</v>
      </c>
      <c r="M1" s="17" t="s">
        <v>39</v>
      </c>
    </row>
    <row r="2" spans="1:13" x14ac:dyDescent="0.25">
      <c r="A2" s="18" t="s">
        <v>23</v>
      </c>
      <c r="B2" s="3">
        <v>2013</v>
      </c>
      <c r="C2" s="13">
        <f>CONCATENATE("01/01/",$B2)*1</f>
        <v>41275</v>
      </c>
      <c r="D2" s="14">
        <f>C2</f>
        <v>41275</v>
      </c>
      <c r="E2" s="15">
        <f>C2</f>
        <v>41275</v>
      </c>
      <c r="F2" s="18" t="s">
        <v>39</v>
      </c>
      <c r="H2" s="18" t="s">
        <v>23</v>
      </c>
      <c r="I2" s="3">
        <v>2013</v>
      </c>
      <c r="J2" s="13">
        <f>CONCATENATE("01/01/",$B2)*1</f>
        <v>41275</v>
      </c>
      <c r="K2" s="14">
        <f>J2</f>
        <v>41275</v>
      </c>
      <c r="L2" s="15">
        <f>J2</f>
        <v>41275</v>
      </c>
      <c r="M2" s="18" t="s">
        <v>39</v>
      </c>
    </row>
    <row r="3" spans="1:13" x14ac:dyDescent="0.25">
      <c r="A3" s="18" t="s">
        <v>23</v>
      </c>
      <c r="B3" s="3">
        <v>2014</v>
      </c>
      <c r="C3" s="13">
        <f t="shared" ref="C3:C19" si="0">CONCATENATE("01/01/",$B3)*1</f>
        <v>41640</v>
      </c>
      <c r="D3" s="14">
        <f t="shared" ref="D3:D66" si="1">C3</f>
        <v>41640</v>
      </c>
      <c r="E3" s="15">
        <f t="shared" ref="E3:E66" si="2">C3</f>
        <v>41640</v>
      </c>
      <c r="F3" s="18" t="s">
        <v>39</v>
      </c>
      <c r="H3" s="18" t="s">
        <v>23</v>
      </c>
      <c r="I3" s="3">
        <v>2014</v>
      </c>
      <c r="J3" s="13">
        <f>CONCATENATE("01/01/",$B3)*1</f>
        <v>41640</v>
      </c>
      <c r="K3" s="14">
        <f t="shared" ref="K3:K66" si="3">J3</f>
        <v>41640</v>
      </c>
      <c r="L3" s="15">
        <f t="shared" ref="L3:L19" si="4">J3</f>
        <v>41640</v>
      </c>
      <c r="M3" s="18" t="s">
        <v>39</v>
      </c>
    </row>
    <row r="4" spans="1:13" x14ac:dyDescent="0.25">
      <c r="A4" s="18" t="s">
        <v>23</v>
      </c>
      <c r="B4" s="3">
        <v>2015</v>
      </c>
      <c r="C4" s="13">
        <f t="shared" si="0"/>
        <v>42005</v>
      </c>
      <c r="D4" s="14">
        <f t="shared" si="1"/>
        <v>42005</v>
      </c>
      <c r="E4" s="15">
        <f t="shared" si="2"/>
        <v>42005</v>
      </c>
      <c r="F4" s="18" t="s">
        <v>39</v>
      </c>
      <c r="H4" s="18" t="s">
        <v>23</v>
      </c>
      <c r="I4" s="3">
        <v>2015</v>
      </c>
      <c r="J4" s="13">
        <f t="shared" ref="J4:J19" si="5">CONCATENATE("01/01/",$B4)*1</f>
        <v>42005</v>
      </c>
      <c r="K4" s="14">
        <f t="shared" si="3"/>
        <v>42005</v>
      </c>
      <c r="L4" s="15">
        <f t="shared" si="4"/>
        <v>42005</v>
      </c>
      <c r="M4" s="18" t="s">
        <v>39</v>
      </c>
    </row>
    <row r="5" spans="1:13" x14ac:dyDescent="0.25">
      <c r="A5" s="18" t="s">
        <v>23</v>
      </c>
      <c r="B5" s="3">
        <v>2016</v>
      </c>
      <c r="C5" s="13">
        <f t="shared" si="0"/>
        <v>42370</v>
      </c>
      <c r="D5" s="14">
        <f t="shared" si="1"/>
        <v>42370</v>
      </c>
      <c r="E5" s="15">
        <f t="shared" si="2"/>
        <v>42370</v>
      </c>
      <c r="F5" s="18" t="s">
        <v>39</v>
      </c>
      <c r="H5" s="18" t="s">
        <v>23</v>
      </c>
      <c r="I5" s="3">
        <v>2016</v>
      </c>
      <c r="J5" s="13">
        <f t="shared" si="5"/>
        <v>42370</v>
      </c>
      <c r="K5" s="14">
        <f t="shared" si="3"/>
        <v>42370</v>
      </c>
      <c r="L5" s="15">
        <f t="shared" si="4"/>
        <v>42370</v>
      </c>
      <c r="M5" s="18" t="s">
        <v>39</v>
      </c>
    </row>
    <row r="6" spans="1:13" x14ac:dyDescent="0.25">
      <c r="A6" s="18" t="s">
        <v>23</v>
      </c>
      <c r="B6" s="3">
        <v>2017</v>
      </c>
      <c r="C6" s="13">
        <f t="shared" si="0"/>
        <v>42736</v>
      </c>
      <c r="D6" s="14">
        <f t="shared" si="1"/>
        <v>42736</v>
      </c>
      <c r="E6" s="15">
        <f t="shared" si="2"/>
        <v>42736</v>
      </c>
      <c r="F6" s="18" t="s">
        <v>39</v>
      </c>
      <c r="H6" s="18" t="s">
        <v>23</v>
      </c>
      <c r="I6" s="3">
        <v>2017</v>
      </c>
      <c r="J6" s="13">
        <f t="shared" si="5"/>
        <v>42736</v>
      </c>
      <c r="K6" s="14">
        <f t="shared" si="3"/>
        <v>42736</v>
      </c>
      <c r="L6" s="15">
        <f t="shared" si="4"/>
        <v>42736</v>
      </c>
      <c r="M6" s="18" t="s">
        <v>39</v>
      </c>
    </row>
    <row r="7" spans="1:13" x14ac:dyDescent="0.25">
      <c r="A7" s="18" t="s">
        <v>23</v>
      </c>
      <c r="B7" s="3">
        <v>2018</v>
      </c>
      <c r="C7" s="13">
        <f t="shared" si="0"/>
        <v>43101</v>
      </c>
      <c r="D7" s="14">
        <f t="shared" si="1"/>
        <v>43101</v>
      </c>
      <c r="E7" s="15">
        <f t="shared" si="2"/>
        <v>43101</v>
      </c>
      <c r="F7" s="18" t="s">
        <v>39</v>
      </c>
      <c r="H7" s="18" t="s">
        <v>23</v>
      </c>
      <c r="I7" s="3">
        <v>2018</v>
      </c>
      <c r="J7" s="13">
        <f t="shared" si="5"/>
        <v>43101</v>
      </c>
      <c r="K7" s="14">
        <f t="shared" si="3"/>
        <v>43101</v>
      </c>
      <c r="L7" s="15">
        <f t="shared" si="4"/>
        <v>43101</v>
      </c>
      <c r="M7" s="18" t="s">
        <v>39</v>
      </c>
    </row>
    <row r="8" spans="1:13" x14ac:dyDescent="0.25">
      <c r="A8" s="18" t="s">
        <v>23</v>
      </c>
      <c r="B8" s="3">
        <v>2019</v>
      </c>
      <c r="C8" s="13">
        <f t="shared" si="0"/>
        <v>43466</v>
      </c>
      <c r="D8" s="14">
        <f t="shared" si="1"/>
        <v>43466</v>
      </c>
      <c r="E8" s="15">
        <f t="shared" si="2"/>
        <v>43466</v>
      </c>
      <c r="F8" s="18" t="s">
        <v>39</v>
      </c>
      <c r="H8" s="18" t="s">
        <v>23</v>
      </c>
      <c r="I8" s="3">
        <v>2019</v>
      </c>
      <c r="J8" s="13">
        <f t="shared" si="5"/>
        <v>43466</v>
      </c>
      <c r="K8" s="14">
        <f t="shared" si="3"/>
        <v>43466</v>
      </c>
      <c r="L8" s="15">
        <f t="shared" si="4"/>
        <v>43466</v>
      </c>
      <c r="M8" s="18" t="s">
        <v>39</v>
      </c>
    </row>
    <row r="9" spans="1:13" x14ac:dyDescent="0.25">
      <c r="A9" s="18" t="s">
        <v>23</v>
      </c>
      <c r="B9" s="3">
        <v>2020</v>
      </c>
      <c r="C9" s="13">
        <f t="shared" si="0"/>
        <v>43831</v>
      </c>
      <c r="D9" s="14">
        <f t="shared" si="1"/>
        <v>43831</v>
      </c>
      <c r="E9" s="15">
        <f t="shared" si="2"/>
        <v>43831</v>
      </c>
      <c r="F9" s="18" t="s">
        <v>39</v>
      </c>
      <c r="H9" s="18" t="s">
        <v>23</v>
      </c>
      <c r="I9" s="3">
        <v>2020</v>
      </c>
      <c r="J9" s="13">
        <f t="shared" si="5"/>
        <v>43831</v>
      </c>
      <c r="K9" s="14">
        <f t="shared" si="3"/>
        <v>43831</v>
      </c>
      <c r="L9" s="15">
        <f t="shared" si="4"/>
        <v>43831</v>
      </c>
      <c r="M9" s="18" t="s">
        <v>39</v>
      </c>
    </row>
    <row r="10" spans="1:13" x14ac:dyDescent="0.25">
      <c r="A10" s="18" t="s">
        <v>23</v>
      </c>
      <c r="B10" s="3">
        <v>2021</v>
      </c>
      <c r="C10" s="13">
        <f t="shared" si="0"/>
        <v>44197</v>
      </c>
      <c r="D10" s="14">
        <f t="shared" si="1"/>
        <v>44197</v>
      </c>
      <c r="E10" s="15">
        <f t="shared" si="2"/>
        <v>44197</v>
      </c>
      <c r="F10" s="18" t="s">
        <v>39</v>
      </c>
      <c r="H10" s="18" t="s">
        <v>23</v>
      </c>
      <c r="I10" s="3">
        <v>2021</v>
      </c>
      <c r="J10" s="13">
        <f t="shared" si="5"/>
        <v>44197</v>
      </c>
      <c r="K10" s="14">
        <f t="shared" si="3"/>
        <v>44197</v>
      </c>
      <c r="L10" s="15">
        <f t="shared" si="4"/>
        <v>44197</v>
      </c>
      <c r="M10" s="18" t="s">
        <v>39</v>
      </c>
    </row>
    <row r="11" spans="1:13" x14ac:dyDescent="0.25">
      <c r="A11" s="18" t="s">
        <v>23</v>
      </c>
      <c r="B11" s="3">
        <v>2022</v>
      </c>
      <c r="C11" s="13">
        <f t="shared" si="0"/>
        <v>44562</v>
      </c>
      <c r="D11" s="14">
        <f t="shared" si="1"/>
        <v>44562</v>
      </c>
      <c r="E11" s="15">
        <f t="shared" si="2"/>
        <v>44562</v>
      </c>
      <c r="F11" s="18" t="s">
        <v>39</v>
      </c>
      <c r="H11" s="18" t="s">
        <v>23</v>
      </c>
      <c r="I11" s="3">
        <v>2022</v>
      </c>
      <c r="J11" s="13">
        <f t="shared" si="5"/>
        <v>44562</v>
      </c>
      <c r="K11" s="14">
        <f t="shared" si="3"/>
        <v>44562</v>
      </c>
      <c r="L11" s="15">
        <f t="shared" si="4"/>
        <v>44562</v>
      </c>
      <c r="M11" s="18" t="s">
        <v>39</v>
      </c>
    </row>
    <row r="12" spans="1:13" x14ac:dyDescent="0.25">
      <c r="A12" s="18" t="s">
        <v>23</v>
      </c>
      <c r="B12" s="3">
        <v>2023</v>
      </c>
      <c r="C12" s="13">
        <f t="shared" si="0"/>
        <v>44927</v>
      </c>
      <c r="D12" s="14">
        <f t="shared" si="1"/>
        <v>44927</v>
      </c>
      <c r="E12" s="15">
        <f t="shared" si="2"/>
        <v>44927</v>
      </c>
      <c r="F12" s="18" t="s">
        <v>39</v>
      </c>
      <c r="H12" s="18" t="s">
        <v>23</v>
      </c>
      <c r="I12" s="3">
        <v>2023</v>
      </c>
      <c r="J12" s="13">
        <f t="shared" si="5"/>
        <v>44927</v>
      </c>
      <c r="K12" s="14">
        <f t="shared" si="3"/>
        <v>44927</v>
      </c>
      <c r="L12" s="15">
        <f t="shared" si="4"/>
        <v>44927</v>
      </c>
      <c r="M12" s="18" t="s">
        <v>39</v>
      </c>
    </row>
    <row r="13" spans="1:13" x14ac:dyDescent="0.25">
      <c r="A13" s="18" t="s">
        <v>23</v>
      </c>
      <c r="B13" s="3">
        <v>2024</v>
      </c>
      <c r="C13" s="13">
        <f t="shared" si="0"/>
        <v>45292</v>
      </c>
      <c r="D13" s="14">
        <f t="shared" si="1"/>
        <v>45292</v>
      </c>
      <c r="E13" s="15">
        <f t="shared" si="2"/>
        <v>45292</v>
      </c>
      <c r="F13" s="18" t="s">
        <v>39</v>
      </c>
      <c r="H13" s="18" t="s">
        <v>23</v>
      </c>
      <c r="I13" s="3">
        <v>2024</v>
      </c>
      <c r="J13" s="13">
        <f t="shared" si="5"/>
        <v>45292</v>
      </c>
      <c r="K13" s="14">
        <f t="shared" si="3"/>
        <v>45292</v>
      </c>
      <c r="L13" s="15">
        <f t="shared" si="4"/>
        <v>45292</v>
      </c>
      <c r="M13" s="18" t="s">
        <v>39</v>
      </c>
    </row>
    <row r="14" spans="1:13" x14ac:dyDescent="0.25">
      <c r="A14" s="18" t="s">
        <v>23</v>
      </c>
      <c r="B14" s="3">
        <v>2025</v>
      </c>
      <c r="C14" s="13">
        <f t="shared" si="0"/>
        <v>45658</v>
      </c>
      <c r="D14" s="14">
        <f t="shared" si="1"/>
        <v>45658</v>
      </c>
      <c r="E14" s="15">
        <f t="shared" si="2"/>
        <v>45658</v>
      </c>
      <c r="F14" s="18" t="s">
        <v>39</v>
      </c>
      <c r="H14" s="18" t="s">
        <v>23</v>
      </c>
      <c r="I14" s="3">
        <v>2025</v>
      </c>
      <c r="J14" s="13">
        <f t="shared" si="5"/>
        <v>45658</v>
      </c>
      <c r="K14" s="14">
        <f t="shared" si="3"/>
        <v>45658</v>
      </c>
      <c r="L14" s="15">
        <f t="shared" si="4"/>
        <v>45658</v>
      </c>
      <c r="M14" s="18" t="s">
        <v>39</v>
      </c>
    </row>
    <row r="15" spans="1:13" x14ac:dyDescent="0.25">
      <c r="A15" s="18" t="s">
        <v>23</v>
      </c>
      <c r="B15" s="3">
        <v>2026</v>
      </c>
      <c r="C15" s="13">
        <f t="shared" si="0"/>
        <v>46023</v>
      </c>
      <c r="D15" s="14">
        <f t="shared" si="1"/>
        <v>46023</v>
      </c>
      <c r="E15" s="15">
        <f t="shared" si="2"/>
        <v>46023</v>
      </c>
      <c r="F15" s="18" t="s">
        <v>39</v>
      </c>
      <c r="H15" s="18" t="s">
        <v>23</v>
      </c>
      <c r="I15" s="3">
        <v>2026</v>
      </c>
      <c r="J15" s="13">
        <f t="shared" si="5"/>
        <v>46023</v>
      </c>
      <c r="K15" s="14">
        <f t="shared" si="3"/>
        <v>46023</v>
      </c>
      <c r="L15" s="15">
        <f t="shared" si="4"/>
        <v>46023</v>
      </c>
      <c r="M15" s="18" t="s">
        <v>39</v>
      </c>
    </row>
    <row r="16" spans="1:13" x14ac:dyDescent="0.25">
      <c r="A16" s="18" t="s">
        <v>23</v>
      </c>
      <c r="B16" s="3">
        <v>2027</v>
      </c>
      <c r="C16" s="13">
        <f t="shared" si="0"/>
        <v>46388</v>
      </c>
      <c r="D16" s="14">
        <f t="shared" si="1"/>
        <v>46388</v>
      </c>
      <c r="E16" s="15">
        <f t="shared" si="2"/>
        <v>46388</v>
      </c>
      <c r="F16" s="18" t="s">
        <v>39</v>
      </c>
      <c r="H16" s="18" t="s">
        <v>23</v>
      </c>
      <c r="I16" s="3">
        <v>2027</v>
      </c>
      <c r="J16" s="13">
        <f t="shared" si="5"/>
        <v>46388</v>
      </c>
      <c r="K16" s="14">
        <f t="shared" si="3"/>
        <v>46388</v>
      </c>
      <c r="L16" s="15">
        <f t="shared" si="4"/>
        <v>46388</v>
      </c>
      <c r="M16" s="18" t="s">
        <v>39</v>
      </c>
    </row>
    <row r="17" spans="1:13" x14ac:dyDescent="0.25">
      <c r="A17" s="18" t="s">
        <v>23</v>
      </c>
      <c r="B17" s="3">
        <v>2028</v>
      </c>
      <c r="C17" s="13">
        <f t="shared" si="0"/>
        <v>46753</v>
      </c>
      <c r="D17" s="14">
        <f t="shared" si="1"/>
        <v>46753</v>
      </c>
      <c r="E17" s="15">
        <f t="shared" si="2"/>
        <v>46753</v>
      </c>
      <c r="F17" s="18" t="s">
        <v>39</v>
      </c>
      <c r="H17" s="18" t="s">
        <v>23</v>
      </c>
      <c r="I17" s="3">
        <v>2028</v>
      </c>
      <c r="J17" s="13">
        <f t="shared" si="5"/>
        <v>46753</v>
      </c>
      <c r="K17" s="14">
        <f t="shared" si="3"/>
        <v>46753</v>
      </c>
      <c r="L17" s="15">
        <f t="shared" si="4"/>
        <v>46753</v>
      </c>
      <c r="M17" s="18" t="s">
        <v>39</v>
      </c>
    </row>
    <row r="18" spans="1:13" x14ac:dyDescent="0.25">
      <c r="A18" s="18" t="s">
        <v>23</v>
      </c>
      <c r="B18" s="3">
        <v>2029</v>
      </c>
      <c r="C18" s="13">
        <f t="shared" si="0"/>
        <v>47119</v>
      </c>
      <c r="D18" s="14">
        <f t="shared" si="1"/>
        <v>47119</v>
      </c>
      <c r="E18" s="15">
        <f t="shared" si="2"/>
        <v>47119</v>
      </c>
      <c r="F18" s="18" t="s">
        <v>39</v>
      </c>
      <c r="H18" s="18" t="s">
        <v>23</v>
      </c>
      <c r="I18" s="3">
        <v>2029</v>
      </c>
      <c r="J18" s="13">
        <f t="shared" si="5"/>
        <v>47119</v>
      </c>
      <c r="K18" s="14">
        <f t="shared" si="3"/>
        <v>47119</v>
      </c>
      <c r="L18" s="15">
        <f t="shared" si="4"/>
        <v>47119</v>
      </c>
      <c r="M18" s="18" t="s">
        <v>39</v>
      </c>
    </row>
    <row r="19" spans="1:13" x14ac:dyDescent="0.25">
      <c r="A19" s="18" t="s">
        <v>23</v>
      </c>
      <c r="B19" s="3">
        <v>2030</v>
      </c>
      <c r="C19" s="13">
        <f t="shared" si="0"/>
        <v>47484</v>
      </c>
      <c r="D19" s="14">
        <f t="shared" si="1"/>
        <v>47484</v>
      </c>
      <c r="E19" s="15">
        <f t="shared" si="2"/>
        <v>47484</v>
      </c>
      <c r="F19" s="18" t="s">
        <v>39</v>
      </c>
      <c r="H19" s="18" t="s">
        <v>23</v>
      </c>
      <c r="I19" s="3">
        <v>2030</v>
      </c>
      <c r="J19" s="13">
        <f t="shared" si="5"/>
        <v>47484</v>
      </c>
      <c r="K19" s="14">
        <f t="shared" si="3"/>
        <v>47484</v>
      </c>
      <c r="L19" s="15">
        <f t="shared" si="4"/>
        <v>47484</v>
      </c>
      <c r="M19" s="18" t="s">
        <v>39</v>
      </c>
    </row>
    <row r="20" spans="1:13" x14ac:dyDescent="0.25">
      <c r="A20" s="18" t="s">
        <v>24</v>
      </c>
      <c r="B20" s="3">
        <v>2013</v>
      </c>
      <c r="C20" s="13">
        <f t="shared" ref="C20:C37" si="6">CONCATENATE("06/01/",$B2)*1</f>
        <v>41280</v>
      </c>
      <c r="D20" s="14">
        <f t="shared" si="1"/>
        <v>41280</v>
      </c>
      <c r="E20" s="15">
        <f>C20</f>
        <v>41280</v>
      </c>
      <c r="F20" s="18" t="s">
        <v>39</v>
      </c>
      <c r="H20" s="18" t="s">
        <v>24</v>
      </c>
      <c r="I20" s="3">
        <v>2013</v>
      </c>
      <c r="J20" s="13">
        <f t="shared" ref="J20:J37" si="7">CONCATENATE("06/01/",$B2)*1</f>
        <v>41280</v>
      </c>
      <c r="K20" s="14">
        <f t="shared" si="3"/>
        <v>41280</v>
      </c>
      <c r="L20" s="15">
        <f>J20</f>
        <v>41280</v>
      </c>
      <c r="M20" s="18" t="s">
        <v>39</v>
      </c>
    </row>
    <row r="21" spans="1:13" x14ac:dyDescent="0.25">
      <c r="A21" s="18" t="s">
        <v>24</v>
      </c>
      <c r="B21" s="3">
        <v>2014</v>
      </c>
      <c r="C21" s="13">
        <f t="shared" si="6"/>
        <v>41645</v>
      </c>
      <c r="D21" s="14">
        <f t="shared" si="1"/>
        <v>41645</v>
      </c>
      <c r="E21" s="15">
        <f t="shared" si="2"/>
        <v>41645</v>
      </c>
      <c r="F21" s="18" t="s">
        <v>39</v>
      </c>
      <c r="H21" s="18" t="s">
        <v>24</v>
      </c>
      <c r="I21" s="3">
        <v>2014</v>
      </c>
      <c r="J21" s="13">
        <f t="shared" si="7"/>
        <v>41645</v>
      </c>
      <c r="K21" s="14">
        <f t="shared" si="3"/>
        <v>41645</v>
      </c>
      <c r="L21" s="15">
        <f t="shared" ref="L21:L84" si="8">J21</f>
        <v>41645</v>
      </c>
      <c r="M21" s="18" t="s">
        <v>39</v>
      </c>
    </row>
    <row r="22" spans="1:13" x14ac:dyDescent="0.25">
      <c r="A22" s="18" t="s">
        <v>24</v>
      </c>
      <c r="B22" s="3">
        <v>2015</v>
      </c>
      <c r="C22" s="13">
        <f t="shared" si="6"/>
        <v>42010</v>
      </c>
      <c r="D22" s="14">
        <f t="shared" si="1"/>
        <v>42010</v>
      </c>
      <c r="E22" s="15">
        <f t="shared" si="2"/>
        <v>42010</v>
      </c>
      <c r="F22" s="18" t="s">
        <v>39</v>
      </c>
      <c r="H22" s="18" t="s">
        <v>24</v>
      </c>
      <c r="I22" s="3">
        <v>2015</v>
      </c>
      <c r="J22" s="13">
        <f t="shared" si="7"/>
        <v>42010</v>
      </c>
      <c r="K22" s="14">
        <f t="shared" si="3"/>
        <v>42010</v>
      </c>
      <c r="L22" s="15">
        <f t="shared" si="8"/>
        <v>42010</v>
      </c>
      <c r="M22" s="18" t="s">
        <v>39</v>
      </c>
    </row>
    <row r="23" spans="1:13" x14ac:dyDescent="0.25">
      <c r="A23" s="18" t="s">
        <v>24</v>
      </c>
      <c r="B23" s="3">
        <v>2016</v>
      </c>
      <c r="C23" s="13">
        <f t="shared" si="6"/>
        <v>42375</v>
      </c>
      <c r="D23" s="14">
        <f t="shared" si="1"/>
        <v>42375</v>
      </c>
      <c r="E23" s="15">
        <f t="shared" si="2"/>
        <v>42375</v>
      </c>
      <c r="F23" s="18" t="s">
        <v>39</v>
      </c>
      <c r="H23" s="18" t="s">
        <v>24</v>
      </c>
      <c r="I23" s="3">
        <v>2016</v>
      </c>
      <c r="J23" s="13">
        <f t="shared" si="7"/>
        <v>42375</v>
      </c>
      <c r="K23" s="14">
        <f t="shared" si="3"/>
        <v>42375</v>
      </c>
      <c r="L23" s="15">
        <f t="shared" si="8"/>
        <v>42375</v>
      </c>
      <c r="M23" s="18" t="s">
        <v>39</v>
      </c>
    </row>
    <row r="24" spans="1:13" x14ac:dyDescent="0.25">
      <c r="A24" s="18" t="s">
        <v>24</v>
      </c>
      <c r="B24" s="3">
        <v>2017</v>
      </c>
      <c r="C24" s="13">
        <f t="shared" si="6"/>
        <v>42741</v>
      </c>
      <c r="D24" s="14">
        <f t="shared" si="1"/>
        <v>42741</v>
      </c>
      <c r="E24" s="15">
        <f t="shared" si="2"/>
        <v>42741</v>
      </c>
      <c r="F24" s="18" t="s">
        <v>39</v>
      </c>
      <c r="H24" s="18" t="s">
        <v>24</v>
      </c>
      <c r="I24" s="3">
        <v>2017</v>
      </c>
      <c r="J24" s="13">
        <f t="shared" si="7"/>
        <v>42741</v>
      </c>
      <c r="K24" s="14">
        <f t="shared" si="3"/>
        <v>42741</v>
      </c>
      <c r="L24" s="15">
        <f t="shared" si="8"/>
        <v>42741</v>
      </c>
      <c r="M24" s="18" t="s">
        <v>39</v>
      </c>
    </row>
    <row r="25" spans="1:13" x14ac:dyDescent="0.25">
      <c r="A25" s="18" t="s">
        <v>24</v>
      </c>
      <c r="B25" s="3">
        <v>2018</v>
      </c>
      <c r="C25" s="13">
        <f t="shared" si="6"/>
        <v>43106</v>
      </c>
      <c r="D25" s="14">
        <f t="shared" si="1"/>
        <v>43106</v>
      </c>
      <c r="E25" s="15">
        <f t="shared" si="2"/>
        <v>43106</v>
      </c>
      <c r="F25" s="18" t="s">
        <v>39</v>
      </c>
      <c r="H25" s="18" t="s">
        <v>24</v>
      </c>
      <c r="I25" s="3">
        <v>2018</v>
      </c>
      <c r="J25" s="13">
        <f t="shared" si="7"/>
        <v>43106</v>
      </c>
      <c r="K25" s="14">
        <f t="shared" si="3"/>
        <v>43106</v>
      </c>
      <c r="L25" s="15">
        <f t="shared" si="8"/>
        <v>43106</v>
      </c>
      <c r="M25" s="18" t="s">
        <v>39</v>
      </c>
    </row>
    <row r="26" spans="1:13" x14ac:dyDescent="0.25">
      <c r="A26" s="18" t="s">
        <v>24</v>
      </c>
      <c r="B26" s="3">
        <v>2019</v>
      </c>
      <c r="C26" s="13">
        <f t="shared" si="6"/>
        <v>43471</v>
      </c>
      <c r="D26" s="14">
        <f t="shared" si="1"/>
        <v>43471</v>
      </c>
      <c r="E26" s="15">
        <f t="shared" si="2"/>
        <v>43471</v>
      </c>
      <c r="F26" s="18" t="s">
        <v>39</v>
      </c>
      <c r="H26" s="18" t="s">
        <v>24</v>
      </c>
      <c r="I26" s="3">
        <v>2019</v>
      </c>
      <c r="J26" s="13">
        <f t="shared" si="7"/>
        <v>43471</v>
      </c>
      <c r="K26" s="14">
        <f t="shared" si="3"/>
        <v>43471</v>
      </c>
      <c r="L26" s="15">
        <f t="shared" si="8"/>
        <v>43471</v>
      </c>
      <c r="M26" s="18" t="s">
        <v>39</v>
      </c>
    </row>
    <row r="27" spans="1:13" x14ac:dyDescent="0.25">
      <c r="A27" s="18" t="s">
        <v>24</v>
      </c>
      <c r="B27" s="3">
        <v>2020</v>
      </c>
      <c r="C27" s="13">
        <f t="shared" si="6"/>
        <v>43836</v>
      </c>
      <c r="D27" s="14">
        <f t="shared" si="1"/>
        <v>43836</v>
      </c>
      <c r="E27" s="15">
        <f t="shared" si="2"/>
        <v>43836</v>
      </c>
      <c r="F27" s="18" t="s">
        <v>39</v>
      </c>
      <c r="H27" s="18" t="s">
        <v>24</v>
      </c>
      <c r="I27" s="3">
        <v>2020</v>
      </c>
      <c r="J27" s="13">
        <f t="shared" si="7"/>
        <v>43836</v>
      </c>
      <c r="K27" s="14">
        <f t="shared" si="3"/>
        <v>43836</v>
      </c>
      <c r="L27" s="15">
        <f t="shared" si="8"/>
        <v>43836</v>
      </c>
      <c r="M27" s="18" t="s">
        <v>39</v>
      </c>
    </row>
    <row r="28" spans="1:13" x14ac:dyDescent="0.25">
      <c r="A28" s="18" t="s">
        <v>24</v>
      </c>
      <c r="B28" s="3">
        <v>2021</v>
      </c>
      <c r="C28" s="13">
        <f t="shared" si="6"/>
        <v>44202</v>
      </c>
      <c r="D28" s="14">
        <f t="shared" si="1"/>
        <v>44202</v>
      </c>
      <c r="E28" s="15">
        <f t="shared" si="2"/>
        <v>44202</v>
      </c>
      <c r="F28" s="18" t="s">
        <v>39</v>
      </c>
      <c r="H28" s="18" t="s">
        <v>24</v>
      </c>
      <c r="I28" s="3">
        <v>2021</v>
      </c>
      <c r="J28" s="13">
        <f t="shared" si="7"/>
        <v>44202</v>
      </c>
      <c r="K28" s="14">
        <f t="shared" si="3"/>
        <v>44202</v>
      </c>
      <c r="L28" s="15">
        <f t="shared" si="8"/>
        <v>44202</v>
      </c>
      <c r="M28" s="18" t="s">
        <v>39</v>
      </c>
    </row>
    <row r="29" spans="1:13" x14ac:dyDescent="0.25">
      <c r="A29" s="18" t="s">
        <v>24</v>
      </c>
      <c r="B29" s="3">
        <v>2022</v>
      </c>
      <c r="C29" s="13">
        <f t="shared" si="6"/>
        <v>44567</v>
      </c>
      <c r="D29" s="14">
        <f t="shared" si="1"/>
        <v>44567</v>
      </c>
      <c r="E29" s="15">
        <f t="shared" si="2"/>
        <v>44567</v>
      </c>
      <c r="F29" s="18" t="s">
        <v>39</v>
      </c>
      <c r="H29" s="18" t="s">
        <v>24</v>
      </c>
      <c r="I29" s="3">
        <v>2022</v>
      </c>
      <c r="J29" s="13">
        <f t="shared" si="7"/>
        <v>44567</v>
      </c>
      <c r="K29" s="14">
        <f t="shared" si="3"/>
        <v>44567</v>
      </c>
      <c r="L29" s="15">
        <f t="shared" si="8"/>
        <v>44567</v>
      </c>
      <c r="M29" s="18" t="s">
        <v>39</v>
      </c>
    </row>
    <row r="30" spans="1:13" x14ac:dyDescent="0.25">
      <c r="A30" s="18" t="s">
        <v>24</v>
      </c>
      <c r="B30" s="3">
        <v>2023</v>
      </c>
      <c r="C30" s="13">
        <f t="shared" si="6"/>
        <v>44932</v>
      </c>
      <c r="D30" s="14">
        <f t="shared" si="1"/>
        <v>44932</v>
      </c>
      <c r="E30" s="15">
        <f t="shared" si="2"/>
        <v>44932</v>
      </c>
      <c r="F30" s="18" t="s">
        <v>39</v>
      </c>
      <c r="H30" s="18" t="s">
        <v>24</v>
      </c>
      <c r="I30" s="3">
        <v>2023</v>
      </c>
      <c r="J30" s="13">
        <f t="shared" si="7"/>
        <v>44932</v>
      </c>
      <c r="K30" s="14">
        <f t="shared" si="3"/>
        <v>44932</v>
      </c>
      <c r="L30" s="15">
        <f t="shared" si="8"/>
        <v>44932</v>
      </c>
      <c r="M30" s="18" t="s">
        <v>39</v>
      </c>
    </row>
    <row r="31" spans="1:13" x14ac:dyDescent="0.25">
      <c r="A31" s="18" t="s">
        <v>24</v>
      </c>
      <c r="B31" s="3">
        <v>2024</v>
      </c>
      <c r="C31" s="13">
        <f t="shared" si="6"/>
        <v>45297</v>
      </c>
      <c r="D31" s="14">
        <f t="shared" si="1"/>
        <v>45297</v>
      </c>
      <c r="E31" s="15">
        <f t="shared" si="2"/>
        <v>45297</v>
      </c>
      <c r="F31" s="18" t="s">
        <v>39</v>
      </c>
      <c r="H31" s="18" t="s">
        <v>24</v>
      </c>
      <c r="I31" s="3">
        <v>2024</v>
      </c>
      <c r="J31" s="13">
        <f t="shared" si="7"/>
        <v>45297</v>
      </c>
      <c r="K31" s="14">
        <f t="shared" si="3"/>
        <v>45297</v>
      </c>
      <c r="L31" s="15">
        <f t="shared" si="8"/>
        <v>45297</v>
      </c>
      <c r="M31" s="18" t="s">
        <v>39</v>
      </c>
    </row>
    <row r="32" spans="1:13" x14ac:dyDescent="0.25">
      <c r="A32" s="18" t="s">
        <v>24</v>
      </c>
      <c r="B32" s="3">
        <v>2025</v>
      </c>
      <c r="C32" s="13">
        <f t="shared" si="6"/>
        <v>45663</v>
      </c>
      <c r="D32" s="14">
        <f t="shared" si="1"/>
        <v>45663</v>
      </c>
      <c r="E32" s="15">
        <f t="shared" si="2"/>
        <v>45663</v>
      </c>
      <c r="F32" s="18" t="s">
        <v>39</v>
      </c>
      <c r="H32" s="18" t="s">
        <v>24</v>
      </c>
      <c r="I32" s="3">
        <v>2025</v>
      </c>
      <c r="J32" s="13">
        <f t="shared" si="7"/>
        <v>45663</v>
      </c>
      <c r="K32" s="14">
        <f t="shared" si="3"/>
        <v>45663</v>
      </c>
      <c r="L32" s="15">
        <f t="shared" si="8"/>
        <v>45663</v>
      </c>
      <c r="M32" s="18" t="s">
        <v>39</v>
      </c>
    </row>
    <row r="33" spans="1:13" x14ac:dyDescent="0.25">
      <c r="A33" s="18" t="s">
        <v>24</v>
      </c>
      <c r="B33" s="3">
        <v>2026</v>
      </c>
      <c r="C33" s="13">
        <f t="shared" si="6"/>
        <v>46028</v>
      </c>
      <c r="D33" s="14">
        <f t="shared" si="1"/>
        <v>46028</v>
      </c>
      <c r="E33" s="15">
        <f t="shared" si="2"/>
        <v>46028</v>
      </c>
      <c r="F33" s="18" t="s">
        <v>39</v>
      </c>
      <c r="H33" s="18" t="s">
        <v>24</v>
      </c>
      <c r="I33" s="3">
        <v>2026</v>
      </c>
      <c r="J33" s="13">
        <f t="shared" si="7"/>
        <v>46028</v>
      </c>
      <c r="K33" s="14">
        <f t="shared" si="3"/>
        <v>46028</v>
      </c>
      <c r="L33" s="15">
        <f t="shared" si="8"/>
        <v>46028</v>
      </c>
      <c r="M33" s="18" t="s">
        <v>39</v>
      </c>
    </row>
    <row r="34" spans="1:13" x14ac:dyDescent="0.25">
      <c r="A34" s="18" t="s">
        <v>24</v>
      </c>
      <c r="B34" s="3">
        <v>2027</v>
      </c>
      <c r="C34" s="13">
        <f t="shared" si="6"/>
        <v>46393</v>
      </c>
      <c r="D34" s="14">
        <f t="shared" si="1"/>
        <v>46393</v>
      </c>
      <c r="E34" s="15">
        <f t="shared" si="2"/>
        <v>46393</v>
      </c>
      <c r="F34" s="18" t="s">
        <v>39</v>
      </c>
      <c r="H34" s="18" t="s">
        <v>24</v>
      </c>
      <c r="I34" s="3">
        <v>2027</v>
      </c>
      <c r="J34" s="13">
        <f t="shared" si="7"/>
        <v>46393</v>
      </c>
      <c r="K34" s="14">
        <f t="shared" si="3"/>
        <v>46393</v>
      </c>
      <c r="L34" s="15">
        <f t="shared" si="8"/>
        <v>46393</v>
      </c>
      <c r="M34" s="18" t="s">
        <v>39</v>
      </c>
    </row>
    <row r="35" spans="1:13" x14ac:dyDescent="0.25">
      <c r="A35" s="18" t="s">
        <v>24</v>
      </c>
      <c r="B35" s="3">
        <v>2028</v>
      </c>
      <c r="C35" s="13">
        <f t="shared" si="6"/>
        <v>46758</v>
      </c>
      <c r="D35" s="14">
        <f t="shared" si="1"/>
        <v>46758</v>
      </c>
      <c r="E35" s="15">
        <f t="shared" si="2"/>
        <v>46758</v>
      </c>
      <c r="F35" s="18" t="s">
        <v>39</v>
      </c>
      <c r="H35" s="18" t="s">
        <v>24</v>
      </c>
      <c r="I35" s="3">
        <v>2028</v>
      </c>
      <c r="J35" s="13">
        <f t="shared" si="7"/>
        <v>46758</v>
      </c>
      <c r="K35" s="14">
        <f t="shared" si="3"/>
        <v>46758</v>
      </c>
      <c r="L35" s="15">
        <f t="shared" si="8"/>
        <v>46758</v>
      </c>
      <c r="M35" s="18" t="s">
        <v>39</v>
      </c>
    </row>
    <row r="36" spans="1:13" x14ac:dyDescent="0.25">
      <c r="A36" s="18" t="s">
        <v>24</v>
      </c>
      <c r="B36" s="3">
        <v>2029</v>
      </c>
      <c r="C36" s="13">
        <f t="shared" si="6"/>
        <v>47124</v>
      </c>
      <c r="D36" s="14">
        <f t="shared" si="1"/>
        <v>47124</v>
      </c>
      <c r="E36" s="15">
        <f t="shared" si="2"/>
        <v>47124</v>
      </c>
      <c r="F36" s="18" t="s">
        <v>39</v>
      </c>
      <c r="H36" s="18" t="s">
        <v>24</v>
      </c>
      <c r="I36" s="3">
        <v>2029</v>
      </c>
      <c r="J36" s="13">
        <f t="shared" si="7"/>
        <v>47124</v>
      </c>
      <c r="K36" s="14">
        <f t="shared" si="3"/>
        <v>47124</v>
      </c>
      <c r="L36" s="15">
        <f t="shared" si="8"/>
        <v>47124</v>
      </c>
      <c r="M36" s="18" t="s">
        <v>39</v>
      </c>
    </row>
    <row r="37" spans="1:13" x14ac:dyDescent="0.25">
      <c r="A37" s="18" t="s">
        <v>24</v>
      </c>
      <c r="B37" s="3">
        <v>2030</v>
      </c>
      <c r="C37" s="13">
        <f t="shared" si="6"/>
        <v>47489</v>
      </c>
      <c r="D37" s="14">
        <f t="shared" si="1"/>
        <v>47489</v>
      </c>
      <c r="E37" s="15">
        <f t="shared" si="2"/>
        <v>47489</v>
      </c>
      <c r="F37" s="18" t="s">
        <v>39</v>
      </c>
      <c r="H37" s="18" t="s">
        <v>24</v>
      </c>
      <c r="I37" s="3">
        <v>2030</v>
      </c>
      <c r="J37" s="13">
        <f t="shared" si="7"/>
        <v>47489</v>
      </c>
      <c r="K37" s="14">
        <f t="shared" si="3"/>
        <v>47489</v>
      </c>
      <c r="L37" s="15">
        <f t="shared" si="8"/>
        <v>47489</v>
      </c>
      <c r="M37" s="18" t="s">
        <v>39</v>
      </c>
    </row>
    <row r="38" spans="1:13" x14ac:dyDescent="0.25">
      <c r="A38" s="18" t="s">
        <v>32</v>
      </c>
      <c r="B38" s="3">
        <v>2013</v>
      </c>
      <c r="C38" s="13">
        <f t="shared" ref="C38:C55" si="9">CONCATENATE("25/04/",$B2)*1</f>
        <v>41389</v>
      </c>
      <c r="D38" s="14">
        <f t="shared" si="1"/>
        <v>41389</v>
      </c>
      <c r="E38" s="15">
        <f t="shared" si="2"/>
        <v>41389</v>
      </c>
      <c r="F38" s="18" t="s">
        <v>39</v>
      </c>
      <c r="H38" s="18" t="s">
        <v>32</v>
      </c>
      <c r="I38" s="3">
        <v>2013</v>
      </c>
      <c r="J38" s="13">
        <f t="shared" ref="J38:J55" si="10">CONCATENATE("25/04/",$B2)*1</f>
        <v>41389</v>
      </c>
      <c r="K38" s="14">
        <f t="shared" si="3"/>
        <v>41389</v>
      </c>
      <c r="L38" s="15">
        <f t="shared" si="8"/>
        <v>41389</v>
      </c>
      <c r="M38" s="18" t="s">
        <v>39</v>
      </c>
    </row>
    <row r="39" spans="1:13" x14ac:dyDescent="0.25">
      <c r="A39" s="18" t="s">
        <v>32</v>
      </c>
      <c r="B39" s="3">
        <v>2014</v>
      </c>
      <c r="C39" s="13">
        <f t="shared" si="9"/>
        <v>41754</v>
      </c>
      <c r="D39" s="14">
        <f t="shared" si="1"/>
        <v>41754</v>
      </c>
      <c r="E39" s="15">
        <f t="shared" si="2"/>
        <v>41754</v>
      </c>
      <c r="F39" s="18" t="s">
        <v>39</v>
      </c>
      <c r="H39" s="18" t="s">
        <v>32</v>
      </c>
      <c r="I39" s="3">
        <v>2014</v>
      </c>
      <c r="J39" s="13">
        <f t="shared" si="10"/>
        <v>41754</v>
      </c>
      <c r="K39" s="14">
        <f t="shared" si="3"/>
        <v>41754</v>
      </c>
      <c r="L39" s="15">
        <f t="shared" si="8"/>
        <v>41754</v>
      </c>
      <c r="M39" s="18" t="s">
        <v>39</v>
      </c>
    </row>
    <row r="40" spans="1:13" x14ac:dyDescent="0.25">
      <c r="A40" s="18" t="s">
        <v>32</v>
      </c>
      <c r="B40" s="3">
        <v>2015</v>
      </c>
      <c r="C40" s="13">
        <f t="shared" si="9"/>
        <v>42119</v>
      </c>
      <c r="D40" s="14">
        <f t="shared" si="1"/>
        <v>42119</v>
      </c>
      <c r="E40" s="15">
        <f t="shared" si="2"/>
        <v>42119</v>
      </c>
      <c r="F40" s="18" t="s">
        <v>39</v>
      </c>
      <c r="H40" s="18" t="s">
        <v>32</v>
      </c>
      <c r="I40" s="3">
        <v>2015</v>
      </c>
      <c r="J40" s="13">
        <f t="shared" si="10"/>
        <v>42119</v>
      </c>
      <c r="K40" s="14">
        <f t="shared" si="3"/>
        <v>42119</v>
      </c>
      <c r="L40" s="15">
        <f t="shared" si="8"/>
        <v>42119</v>
      </c>
      <c r="M40" s="18" t="s">
        <v>39</v>
      </c>
    </row>
    <row r="41" spans="1:13" x14ac:dyDescent="0.25">
      <c r="A41" s="18" t="s">
        <v>32</v>
      </c>
      <c r="B41" s="3">
        <v>2016</v>
      </c>
      <c r="C41" s="13">
        <f t="shared" si="9"/>
        <v>42485</v>
      </c>
      <c r="D41" s="14">
        <f t="shared" si="1"/>
        <v>42485</v>
      </c>
      <c r="E41" s="15">
        <f t="shared" si="2"/>
        <v>42485</v>
      </c>
      <c r="F41" s="18" t="s">
        <v>39</v>
      </c>
      <c r="H41" s="18" t="s">
        <v>32</v>
      </c>
      <c r="I41" s="3">
        <v>2016</v>
      </c>
      <c r="J41" s="13">
        <f t="shared" si="10"/>
        <v>42485</v>
      </c>
      <c r="K41" s="14">
        <f t="shared" si="3"/>
        <v>42485</v>
      </c>
      <c r="L41" s="15">
        <f t="shared" si="8"/>
        <v>42485</v>
      </c>
      <c r="M41" s="18" t="s">
        <v>39</v>
      </c>
    </row>
    <row r="42" spans="1:13" x14ac:dyDescent="0.25">
      <c r="A42" s="18" t="s">
        <v>32</v>
      </c>
      <c r="B42" s="3">
        <v>2017</v>
      </c>
      <c r="C42" s="13">
        <f t="shared" si="9"/>
        <v>42850</v>
      </c>
      <c r="D42" s="14">
        <f t="shared" si="1"/>
        <v>42850</v>
      </c>
      <c r="E42" s="15">
        <f t="shared" si="2"/>
        <v>42850</v>
      </c>
      <c r="F42" s="18" t="s">
        <v>39</v>
      </c>
      <c r="H42" s="18" t="s">
        <v>32</v>
      </c>
      <c r="I42" s="3">
        <v>2017</v>
      </c>
      <c r="J42" s="13">
        <f t="shared" si="10"/>
        <v>42850</v>
      </c>
      <c r="K42" s="14">
        <f t="shared" si="3"/>
        <v>42850</v>
      </c>
      <c r="L42" s="15">
        <f t="shared" si="8"/>
        <v>42850</v>
      </c>
      <c r="M42" s="18" t="s">
        <v>39</v>
      </c>
    </row>
    <row r="43" spans="1:13" x14ac:dyDescent="0.25">
      <c r="A43" s="18" t="s">
        <v>32</v>
      </c>
      <c r="B43" s="3">
        <v>2018</v>
      </c>
      <c r="C43" s="13">
        <f t="shared" si="9"/>
        <v>43215</v>
      </c>
      <c r="D43" s="14">
        <f t="shared" si="1"/>
        <v>43215</v>
      </c>
      <c r="E43" s="15">
        <f t="shared" si="2"/>
        <v>43215</v>
      </c>
      <c r="F43" s="18" t="s">
        <v>39</v>
      </c>
      <c r="H43" s="18" t="s">
        <v>32</v>
      </c>
      <c r="I43" s="3">
        <v>2018</v>
      </c>
      <c r="J43" s="13">
        <f t="shared" si="10"/>
        <v>43215</v>
      </c>
      <c r="K43" s="14">
        <f t="shared" si="3"/>
        <v>43215</v>
      </c>
      <c r="L43" s="15">
        <f t="shared" si="8"/>
        <v>43215</v>
      </c>
      <c r="M43" s="18" t="s">
        <v>39</v>
      </c>
    </row>
    <row r="44" spans="1:13" x14ac:dyDescent="0.25">
      <c r="A44" s="18" t="s">
        <v>32</v>
      </c>
      <c r="B44" s="3">
        <v>2019</v>
      </c>
      <c r="C44" s="13">
        <f t="shared" si="9"/>
        <v>43580</v>
      </c>
      <c r="D44" s="14">
        <f t="shared" si="1"/>
        <v>43580</v>
      </c>
      <c r="E44" s="15">
        <f t="shared" si="2"/>
        <v>43580</v>
      </c>
      <c r="F44" s="18" t="s">
        <v>39</v>
      </c>
      <c r="H44" s="18" t="s">
        <v>32</v>
      </c>
      <c r="I44" s="3">
        <v>2019</v>
      </c>
      <c r="J44" s="13">
        <f t="shared" si="10"/>
        <v>43580</v>
      </c>
      <c r="K44" s="14">
        <f t="shared" si="3"/>
        <v>43580</v>
      </c>
      <c r="L44" s="15">
        <f t="shared" si="8"/>
        <v>43580</v>
      </c>
      <c r="M44" s="18" t="s">
        <v>39</v>
      </c>
    </row>
    <row r="45" spans="1:13" x14ac:dyDescent="0.25">
      <c r="A45" s="18" t="s">
        <v>32</v>
      </c>
      <c r="B45" s="3">
        <v>2020</v>
      </c>
      <c r="C45" s="13">
        <f t="shared" si="9"/>
        <v>43946</v>
      </c>
      <c r="D45" s="14">
        <f t="shared" si="1"/>
        <v>43946</v>
      </c>
      <c r="E45" s="15">
        <f t="shared" si="2"/>
        <v>43946</v>
      </c>
      <c r="F45" s="18" t="s">
        <v>39</v>
      </c>
      <c r="H45" s="18" t="s">
        <v>32</v>
      </c>
      <c r="I45" s="3">
        <v>2020</v>
      </c>
      <c r="J45" s="13">
        <f t="shared" si="10"/>
        <v>43946</v>
      </c>
      <c r="K45" s="14">
        <f t="shared" si="3"/>
        <v>43946</v>
      </c>
      <c r="L45" s="15">
        <f t="shared" si="8"/>
        <v>43946</v>
      </c>
      <c r="M45" s="18" t="s">
        <v>39</v>
      </c>
    </row>
    <row r="46" spans="1:13" x14ac:dyDescent="0.25">
      <c r="A46" s="18" t="s">
        <v>32</v>
      </c>
      <c r="B46" s="3">
        <v>2021</v>
      </c>
      <c r="C46" s="13">
        <f t="shared" si="9"/>
        <v>44311</v>
      </c>
      <c r="D46" s="14">
        <f t="shared" si="1"/>
        <v>44311</v>
      </c>
      <c r="E46" s="15">
        <f t="shared" si="2"/>
        <v>44311</v>
      </c>
      <c r="F46" s="18" t="s">
        <v>39</v>
      </c>
      <c r="H46" s="18" t="s">
        <v>32</v>
      </c>
      <c r="I46" s="3">
        <v>2021</v>
      </c>
      <c r="J46" s="13">
        <f t="shared" si="10"/>
        <v>44311</v>
      </c>
      <c r="K46" s="14">
        <f t="shared" si="3"/>
        <v>44311</v>
      </c>
      <c r="L46" s="15">
        <f t="shared" si="8"/>
        <v>44311</v>
      </c>
      <c r="M46" s="18" t="s">
        <v>39</v>
      </c>
    </row>
    <row r="47" spans="1:13" x14ac:dyDescent="0.25">
      <c r="A47" s="18" t="s">
        <v>32</v>
      </c>
      <c r="B47" s="3">
        <v>2022</v>
      </c>
      <c r="C47" s="13">
        <f t="shared" si="9"/>
        <v>44676</v>
      </c>
      <c r="D47" s="14">
        <f t="shared" si="1"/>
        <v>44676</v>
      </c>
      <c r="E47" s="15">
        <f t="shared" si="2"/>
        <v>44676</v>
      </c>
      <c r="F47" s="18" t="s">
        <v>39</v>
      </c>
      <c r="H47" s="18" t="s">
        <v>32</v>
      </c>
      <c r="I47" s="3">
        <v>2022</v>
      </c>
      <c r="J47" s="13">
        <f t="shared" si="10"/>
        <v>44676</v>
      </c>
      <c r="K47" s="14">
        <f t="shared" si="3"/>
        <v>44676</v>
      </c>
      <c r="L47" s="15">
        <f t="shared" si="8"/>
        <v>44676</v>
      </c>
      <c r="M47" s="18" t="s">
        <v>39</v>
      </c>
    </row>
    <row r="48" spans="1:13" x14ac:dyDescent="0.25">
      <c r="A48" s="18" t="s">
        <v>32</v>
      </c>
      <c r="B48" s="3">
        <v>2023</v>
      </c>
      <c r="C48" s="13">
        <f t="shared" si="9"/>
        <v>45041</v>
      </c>
      <c r="D48" s="14">
        <f t="shared" si="1"/>
        <v>45041</v>
      </c>
      <c r="E48" s="15">
        <f t="shared" si="2"/>
        <v>45041</v>
      </c>
      <c r="F48" s="18" t="s">
        <v>39</v>
      </c>
      <c r="H48" s="18" t="s">
        <v>32</v>
      </c>
      <c r="I48" s="3">
        <v>2023</v>
      </c>
      <c r="J48" s="13">
        <f t="shared" si="10"/>
        <v>45041</v>
      </c>
      <c r="K48" s="14">
        <f t="shared" si="3"/>
        <v>45041</v>
      </c>
      <c r="L48" s="15">
        <f t="shared" si="8"/>
        <v>45041</v>
      </c>
      <c r="M48" s="18" t="s">
        <v>39</v>
      </c>
    </row>
    <row r="49" spans="1:13" x14ac:dyDescent="0.25">
      <c r="A49" s="18" t="s">
        <v>32</v>
      </c>
      <c r="B49" s="3">
        <v>2024</v>
      </c>
      <c r="C49" s="13">
        <f t="shared" si="9"/>
        <v>45407</v>
      </c>
      <c r="D49" s="14">
        <f t="shared" si="1"/>
        <v>45407</v>
      </c>
      <c r="E49" s="15">
        <f t="shared" si="2"/>
        <v>45407</v>
      </c>
      <c r="F49" s="18" t="s">
        <v>39</v>
      </c>
      <c r="H49" s="18" t="s">
        <v>32</v>
      </c>
      <c r="I49" s="3">
        <v>2024</v>
      </c>
      <c r="J49" s="13">
        <f t="shared" si="10"/>
        <v>45407</v>
      </c>
      <c r="K49" s="14">
        <f t="shared" si="3"/>
        <v>45407</v>
      </c>
      <c r="L49" s="15">
        <f t="shared" si="8"/>
        <v>45407</v>
      </c>
      <c r="M49" s="18" t="s">
        <v>39</v>
      </c>
    </row>
    <row r="50" spans="1:13" x14ac:dyDescent="0.25">
      <c r="A50" s="18" t="s">
        <v>32</v>
      </c>
      <c r="B50" s="3">
        <v>2025</v>
      </c>
      <c r="C50" s="13">
        <f t="shared" si="9"/>
        <v>45772</v>
      </c>
      <c r="D50" s="14">
        <f t="shared" si="1"/>
        <v>45772</v>
      </c>
      <c r="E50" s="15">
        <f t="shared" si="2"/>
        <v>45772</v>
      </c>
      <c r="F50" s="18" t="s">
        <v>39</v>
      </c>
      <c r="H50" s="18" t="s">
        <v>32</v>
      </c>
      <c r="I50" s="3">
        <v>2025</v>
      </c>
      <c r="J50" s="13">
        <f t="shared" si="10"/>
        <v>45772</v>
      </c>
      <c r="K50" s="14">
        <f t="shared" si="3"/>
        <v>45772</v>
      </c>
      <c r="L50" s="15">
        <f t="shared" si="8"/>
        <v>45772</v>
      </c>
      <c r="M50" s="18" t="s">
        <v>39</v>
      </c>
    </row>
    <row r="51" spans="1:13" x14ac:dyDescent="0.25">
      <c r="A51" s="18" t="s">
        <v>32</v>
      </c>
      <c r="B51" s="3">
        <v>2026</v>
      </c>
      <c r="C51" s="13">
        <f t="shared" si="9"/>
        <v>46137</v>
      </c>
      <c r="D51" s="14">
        <f t="shared" si="1"/>
        <v>46137</v>
      </c>
      <c r="E51" s="15">
        <f t="shared" si="2"/>
        <v>46137</v>
      </c>
      <c r="F51" s="18" t="s">
        <v>39</v>
      </c>
      <c r="H51" s="18" t="s">
        <v>32</v>
      </c>
      <c r="I51" s="3">
        <v>2026</v>
      </c>
      <c r="J51" s="13">
        <f t="shared" si="10"/>
        <v>46137</v>
      </c>
      <c r="K51" s="14">
        <f t="shared" si="3"/>
        <v>46137</v>
      </c>
      <c r="L51" s="15">
        <f t="shared" si="8"/>
        <v>46137</v>
      </c>
      <c r="M51" s="18" t="s">
        <v>39</v>
      </c>
    </row>
    <row r="52" spans="1:13" x14ac:dyDescent="0.25">
      <c r="A52" s="18" t="s">
        <v>32</v>
      </c>
      <c r="B52" s="3">
        <v>2027</v>
      </c>
      <c r="C52" s="13">
        <f t="shared" si="9"/>
        <v>46502</v>
      </c>
      <c r="D52" s="14">
        <f t="shared" si="1"/>
        <v>46502</v>
      </c>
      <c r="E52" s="15">
        <f t="shared" si="2"/>
        <v>46502</v>
      </c>
      <c r="F52" s="18" t="s">
        <v>39</v>
      </c>
      <c r="H52" s="18" t="s">
        <v>32</v>
      </c>
      <c r="I52" s="3">
        <v>2027</v>
      </c>
      <c r="J52" s="13">
        <f t="shared" si="10"/>
        <v>46502</v>
      </c>
      <c r="K52" s="14">
        <f t="shared" si="3"/>
        <v>46502</v>
      </c>
      <c r="L52" s="15">
        <f t="shared" si="8"/>
        <v>46502</v>
      </c>
      <c r="M52" s="18" t="s">
        <v>39</v>
      </c>
    </row>
    <row r="53" spans="1:13" x14ac:dyDescent="0.25">
      <c r="A53" s="18" t="s">
        <v>32</v>
      </c>
      <c r="B53" s="3">
        <v>2028</v>
      </c>
      <c r="C53" s="13">
        <f t="shared" si="9"/>
        <v>46868</v>
      </c>
      <c r="D53" s="14">
        <f t="shared" si="1"/>
        <v>46868</v>
      </c>
      <c r="E53" s="15">
        <f t="shared" si="2"/>
        <v>46868</v>
      </c>
      <c r="F53" s="18" t="s">
        <v>39</v>
      </c>
      <c r="H53" s="18" t="s">
        <v>32</v>
      </c>
      <c r="I53" s="3">
        <v>2028</v>
      </c>
      <c r="J53" s="13">
        <f t="shared" si="10"/>
        <v>46868</v>
      </c>
      <c r="K53" s="14">
        <f t="shared" si="3"/>
        <v>46868</v>
      </c>
      <c r="L53" s="15">
        <f t="shared" si="8"/>
        <v>46868</v>
      </c>
      <c r="M53" s="18" t="s">
        <v>39</v>
      </c>
    </row>
    <row r="54" spans="1:13" x14ac:dyDescent="0.25">
      <c r="A54" s="18" t="s">
        <v>32</v>
      </c>
      <c r="B54" s="3">
        <v>2029</v>
      </c>
      <c r="C54" s="13">
        <f t="shared" si="9"/>
        <v>47233</v>
      </c>
      <c r="D54" s="14">
        <f t="shared" si="1"/>
        <v>47233</v>
      </c>
      <c r="E54" s="15">
        <f t="shared" si="2"/>
        <v>47233</v>
      </c>
      <c r="F54" s="18" t="s">
        <v>39</v>
      </c>
      <c r="H54" s="18" t="s">
        <v>32</v>
      </c>
      <c r="I54" s="3">
        <v>2029</v>
      </c>
      <c r="J54" s="13">
        <f t="shared" si="10"/>
        <v>47233</v>
      </c>
      <c r="K54" s="14">
        <f t="shared" si="3"/>
        <v>47233</v>
      </c>
      <c r="L54" s="15">
        <f t="shared" si="8"/>
        <v>47233</v>
      </c>
      <c r="M54" s="18" t="s">
        <v>39</v>
      </c>
    </row>
    <row r="55" spans="1:13" x14ac:dyDescent="0.25">
      <c r="A55" s="18" t="s">
        <v>32</v>
      </c>
      <c r="B55" s="3">
        <v>2030</v>
      </c>
      <c r="C55" s="13">
        <f t="shared" si="9"/>
        <v>47598</v>
      </c>
      <c r="D55" s="14">
        <f t="shared" si="1"/>
        <v>47598</v>
      </c>
      <c r="E55" s="15">
        <f t="shared" si="2"/>
        <v>47598</v>
      </c>
      <c r="F55" s="18" t="s">
        <v>39</v>
      </c>
      <c r="H55" s="18" t="s">
        <v>32</v>
      </c>
      <c r="I55" s="3">
        <v>2030</v>
      </c>
      <c r="J55" s="13">
        <f t="shared" si="10"/>
        <v>47598</v>
      </c>
      <c r="K55" s="14">
        <f t="shared" si="3"/>
        <v>47598</v>
      </c>
      <c r="L55" s="15">
        <f t="shared" si="8"/>
        <v>47598</v>
      </c>
      <c r="M55" s="18" t="s">
        <v>39</v>
      </c>
    </row>
    <row r="56" spans="1:13" x14ac:dyDescent="0.25">
      <c r="A56" s="18" t="s">
        <v>28</v>
      </c>
      <c r="B56" s="3">
        <v>2013</v>
      </c>
      <c r="C56" s="13">
        <v>41365</v>
      </c>
      <c r="D56" s="14">
        <f t="shared" si="1"/>
        <v>41365</v>
      </c>
      <c r="E56" s="15">
        <f t="shared" si="2"/>
        <v>41365</v>
      </c>
      <c r="F56" s="18" t="s">
        <v>39</v>
      </c>
      <c r="H56" s="18" t="s">
        <v>28</v>
      </c>
      <c r="I56" s="3">
        <v>2013</v>
      </c>
      <c r="J56" s="13">
        <v>41365</v>
      </c>
      <c r="K56" s="14">
        <f t="shared" si="3"/>
        <v>41365</v>
      </c>
      <c r="L56" s="15">
        <f t="shared" si="8"/>
        <v>41365</v>
      </c>
      <c r="M56" s="18" t="s">
        <v>39</v>
      </c>
    </row>
    <row r="57" spans="1:13" x14ac:dyDescent="0.25">
      <c r="A57" s="18" t="s">
        <v>28</v>
      </c>
      <c r="B57" s="3">
        <v>2014</v>
      </c>
      <c r="C57" s="13">
        <v>41750</v>
      </c>
      <c r="D57" s="14">
        <f t="shared" si="1"/>
        <v>41750</v>
      </c>
      <c r="E57" s="15">
        <f t="shared" si="2"/>
        <v>41750</v>
      </c>
      <c r="F57" s="18" t="s">
        <v>39</v>
      </c>
      <c r="H57" s="18" t="s">
        <v>28</v>
      </c>
      <c r="I57" s="3">
        <v>2014</v>
      </c>
      <c r="J57" s="13">
        <v>41750</v>
      </c>
      <c r="K57" s="14">
        <f t="shared" si="3"/>
        <v>41750</v>
      </c>
      <c r="L57" s="15">
        <f t="shared" si="8"/>
        <v>41750</v>
      </c>
      <c r="M57" s="18" t="s">
        <v>39</v>
      </c>
    </row>
    <row r="58" spans="1:13" x14ac:dyDescent="0.25">
      <c r="A58" s="18" t="s">
        <v>28</v>
      </c>
      <c r="B58" s="3">
        <v>2015</v>
      </c>
      <c r="C58" s="13">
        <v>42100</v>
      </c>
      <c r="D58" s="14">
        <f t="shared" si="1"/>
        <v>42100</v>
      </c>
      <c r="E58" s="15">
        <f t="shared" si="2"/>
        <v>42100</v>
      </c>
      <c r="F58" s="18" t="s">
        <v>39</v>
      </c>
      <c r="H58" s="18" t="s">
        <v>28</v>
      </c>
      <c r="I58" s="3">
        <v>2015</v>
      </c>
      <c r="J58" s="13">
        <v>42100</v>
      </c>
      <c r="K58" s="14">
        <f t="shared" si="3"/>
        <v>42100</v>
      </c>
      <c r="L58" s="15">
        <f t="shared" si="8"/>
        <v>42100</v>
      </c>
      <c r="M58" s="18" t="s">
        <v>39</v>
      </c>
    </row>
    <row r="59" spans="1:13" x14ac:dyDescent="0.25">
      <c r="A59" s="18" t="s">
        <v>28</v>
      </c>
      <c r="B59" s="3">
        <v>2016</v>
      </c>
      <c r="C59" s="13">
        <v>42457</v>
      </c>
      <c r="D59" s="14">
        <f t="shared" si="1"/>
        <v>42457</v>
      </c>
      <c r="E59" s="15">
        <f t="shared" si="2"/>
        <v>42457</v>
      </c>
      <c r="F59" s="18" t="s">
        <v>39</v>
      </c>
      <c r="H59" s="18" t="s">
        <v>28</v>
      </c>
      <c r="I59" s="3">
        <v>2016</v>
      </c>
      <c r="J59" s="13">
        <v>42457</v>
      </c>
      <c r="K59" s="14">
        <f t="shared" si="3"/>
        <v>42457</v>
      </c>
      <c r="L59" s="15">
        <f t="shared" si="8"/>
        <v>42457</v>
      </c>
      <c r="M59" s="18" t="s">
        <v>39</v>
      </c>
    </row>
    <row r="60" spans="1:13" x14ac:dyDescent="0.25">
      <c r="A60" s="18" t="s">
        <v>28</v>
      </c>
      <c r="B60" s="3">
        <v>2017</v>
      </c>
      <c r="C60" s="13">
        <v>42842</v>
      </c>
      <c r="D60" s="14">
        <f t="shared" si="1"/>
        <v>42842</v>
      </c>
      <c r="E60" s="15">
        <f t="shared" si="2"/>
        <v>42842</v>
      </c>
      <c r="F60" s="18" t="s">
        <v>39</v>
      </c>
      <c r="H60" s="18" t="s">
        <v>28</v>
      </c>
      <c r="I60" s="3">
        <v>2017</v>
      </c>
      <c r="J60" s="13">
        <v>42842</v>
      </c>
      <c r="K60" s="14">
        <f t="shared" si="3"/>
        <v>42842</v>
      </c>
      <c r="L60" s="15">
        <f t="shared" si="8"/>
        <v>42842</v>
      </c>
      <c r="M60" s="18" t="s">
        <v>39</v>
      </c>
    </row>
    <row r="61" spans="1:13" x14ac:dyDescent="0.25">
      <c r="A61" s="18" t="s">
        <v>28</v>
      </c>
      <c r="B61" s="3">
        <v>2018</v>
      </c>
      <c r="C61" s="13">
        <v>43192</v>
      </c>
      <c r="D61" s="14">
        <f t="shared" si="1"/>
        <v>43192</v>
      </c>
      <c r="E61" s="15">
        <f t="shared" si="2"/>
        <v>43192</v>
      </c>
      <c r="F61" s="18" t="s">
        <v>39</v>
      </c>
      <c r="H61" s="18" t="s">
        <v>28</v>
      </c>
      <c r="I61" s="3">
        <v>2018</v>
      </c>
      <c r="J61" s="13">
        <v>43192</v>
      </c>
      <c r="K61" s="14">
        <f t="shared" si="3"/>
        <v>43192</v>
      </c>
      <c r="L61" s="15">
        <f t="shared" si="8"/>
        <v>43192</v>
      </c>
      <c r="M61" s="18" t="s">
        <v>39</v>
      </c>
    </row>
    <row r="62" spans="1:13" x14ac:dyDescent="0.25">
      <c r="A62" s="18" t="s">
        <v>28</v>
      </c>
      <c r="B62" s="3">
        <v>2019</v>
      </c>
      <c r="C62" s="13">
        <v>43577</v>
      </c>
      <c r="D62" s="14">
        <f t="shared" si="1"/>
        <v>43577</v>
      </c>
      <c r="E62" s="15">
        <f t="shared" si="2"/>
        <v>43577</v>
      </c>
      <c r="F62" s="18" t="s">
        <v>39</v>
      </c>
      <c r="H62" s="18" t="s">
        <v>28</v>
      </c>
      <c r="I62" s="3">
        <v>2019</v>
      </c>
      <c r="J62" s="13">
        <v>43577</v>
      </c>
      <c r="K62" s="14">
        <f t="shared" si="3"/>
        <v>43577</v>
      </c>
      <c r="L62" s="15">
        <f t="shared" si="8"/>
        <v>43577</v>
      </c>
      <c r="M62" s="18" t="s">
        <v>39</v>
      </c>
    </row>
    <row r="63" spans="1:13" x14ac:dyDescent="0.25">
      <c r="A63" s="18" t="s">
        <v>28</v>
      </c>
      <c r="B63" s="3">
        <v>2020</v>
      </c>
      <c r="C63" s="13">
        <v>43934</v>
      </c>
      <c r="D63" s="14">
        <f t="shared" si="1"/>
        <v>43934</v>
      </c>
      <c r="E63" s="15">
        <f t="shared" si="2"/>
        <v>43934</v>
      </c>
      <c r="F63" s="18" t="s">
        <v>39</v>
      </c>
      <c r="H63" s="18" t="s">
        <v>28</v>
      </c>
      <c r="I63" s="3">
        <v>2020</v>
      </c>
      <c r="J63" s="13">
        <v>43934</v>
      </c>
      <c r="K63" s="14">
        <f t="shared" si="3"/>
        <v>43934</v>
      </c>
      <c r="L63" s="15">
        <f t="shared" si="8"/>
        <v>43934</v>
      </c>
      <c r="M63" s="18" t="s">
        <v>39</v>
      </c>
    </row>
    <row r="64" spans="1:13" x14ac:dyDescent="0.25">
      <c r="A64" s="18" t="s">
        <v>28</v>
      </c>
      <c r="B64" s="3">
        <v>2021</v>
      </c>
      <c r="C64" s="13">
        <v>44291</v>
      </c>
      <c r="D64" s="14">
        <f t="shared" si="1"/>
        <v>44291</v>
      </c>
      <c r="E64" s="15">
        <f t="shared" si="2"/>
        <v>44291</v>
      </c>
      <c r="F64" s="18" t="s">
        <v>39</v>
      </c>
      <c r="H64" s="18" t="s">
        <v>28</v>
      </c>
      <c r="I64" s="3">
        <v>2021</v>
      </c>
      <c r="J64" s="13">
        <v>44291</v>
      </c>
      <c r="K64" s="14">
        <f t="shared" si="3"/>
        <v>44291</v>
      </c>
      <c r="L64" s="15">
        <f t="shared" si="8"/>
        <v>44291</v>
      </c>
      <c r="M64" s="18" t="s">
        <v>39</v>
      </c>
    </row>
    <row r="65" spans="1:13" x14ac:dyDescent="0.25">
      <c r="A65" s="18" t="s">
        <v>28</v>
      </c>
      <c r="B65" s="3">
        <v>2022</v>
      </c>
      <c r="C65" s="13">
        <v>44669</v>
      </c>
      <c r="D65" s="14">
        <f t="shared" si="1"/>
        <v>44669</v>
      </c>
      <c r="E65" s="15">
        <f t="shared" si="2"/>
        <v>44669</v>
      </c>
      <c r="F65" s="18" t="s">
        <v>39</v>
      </c>
      <c r="H65" s="18" t="s">
        <v>28</v>
      </c>
      <c r="I65" s="3">
        <v>2022</v>
      </c>
      <c r="J65" s="13">
        <v>44669</v>
      </c>
      <c r="K65" s="14">
        <f t="shared" si="3"/>
        <v>44669</v>
      </c>
      <c r="L65" s="15">
        <f t="shared" si="8"/>
        <v>44669</v>
      </c>
      <c r="M65" s="18" t="s">
        <v>39</v>
      </c>
    </row>
    <row r="66" spans="1:13" x14ac:dyDescent="0.25">
      <c r="A66" s="18" t="s">
        <v>28</v>
      </c>
      <c r="B66" s="3">
        <v>2023</v>
      </c>
      <c r="C66" s="13">
        <v>45026</v>
      </c>
      <c r="D66" s="14">
        <f t="shared" si="1"/>
        <v>45026</v>
      </c>
      <c r="E66" s="15">
        <f t="shared" si="2"/>
        <v>45026</v>
      </c>
      <c r="F66" s="18" t="s">
        <v>39</v>
      </c>
      <c r="H66" s="18" t="s">
        <v>28</v>
      </c>
      <c r="I66" s="3">
        <v>2023</v>
      </c>
      <c r="J66" s="13">
        <v>45026</v>
      </c>
      <c r="K66" s="14">
        <f t="shared" si="3"/>
        <v>45026</v>
      </c>
      <c r="L66" s="15">
        <f t="shared" si="8"/>
        <v>45026</v>
      </c>
      <c r="M66" s="18" t="s">
        <v>39</v>
      </c>
    </row>
    <row r="67" spans="1:13" x14ac:dyDescent="0.25">
      <c r="A67" s="18" t="s">
        <v>28</v>
      </c>
      <c r="B67" s="3">
        <v>2024</v>
      </c>
      <c r="C67" s="13">
        <v>45383</v>
      </c>
      <c r="D67" s="14">
        <f t="shared" ref="D67:D130" si="11">C67</f>
        <v>45383</v>
      </c>
      <c r="E67" s="15">
        <f t="shared" ref="E67:E130" si="12">C67</f>
        <v>45383</v>
      </c>
      <c r="F67" s="18" t="s">
        <v>39</v>
      </c>
      <c r="H67" s="18" t="s">
        <v>28</v>
      </c>
      <c r="I67" s="3">
        <v>2024</v>
      </c>
      <c r="J67" s="13">
        <v>45383</v>
      </c>
      <c r="K67" s="14">
        <f t="shared" ref="K67:K130" si="13">J67</f>
        <v>45383</v>
      </c>
      <c r="L67" s="15">
        <f t="shared" si="8"/>
        <v>45383</v>
      </c>
      <c r="M67" s="18" t="s">
        <v>39</v>
      </c>
    </row>
    <row r="68" spans="1:13" x14ac:dyDescent="0.25">
      <c r="A68" s="18" t="s">
        <v>28</v>
      </c>
      <c r="B68" s="3">
        <v>2025</v>
      </c>
      <c r="C68" s="13">
        <v>45768</v>
      </c>
      <c r="D68" s="14">
        <f t="shared" si="11"/>
        <v>45768</v>
      </c>
      <c r="E68" s="15">
        <f t="shared" si="12"/>
        <v>45768</v>
      </c>
      <c r="F68" s="18" t="s">
        <v>39</v>
      </c>
      <c r="H68" s="18" t="s">
        <v>28</v>
      </c>
      <c r="I68" s="3">
        <v>2025</v>
      </c>
      <c r="J68" s="13">
        <v>45768</v>
      </c>
      <c r="K68" s="14">
        <f t="shared" si="13"/>
        <v>45768</v>
      </c>
      <c r="L68" s="15">
        <f t="shared" si="8"/>
        <v>45768</v>
      </c>
      <c r="M68" s="18" t="s">
        <v>39</v>
      </c>
    </row>
    <row r="69" spans="1:13" x14ac:dyDescent="0.25">
      <c r="A69" s="18" t="s">
        <v>28</v>
      </c>
      <c r="B69" s="3">
        <v>2026</v>
      </c>
      <c r="C69" s="13">
        <v>46118</v>
      </c>
      <c r="D69" s="14">
        <f t="shared" si="11"/>
        <v>46118</v>
      </c>
      <c r="E69" s="15">
        <f t="shared" si="12"/>
        <v>46118</v>
      </c>
      <c r="F69" s="18" t="s">
        <v>39</v>
      </c>
      <c r="H69" s="18" t="s">
        <v>28</v>
      </c>
      <c r="I69" s="3">
        <v>2026</v>
      </c>
      <c r="J69" s="13">
        <v>46118</v>
      </c>
      <c r="K69" s="14">
        <f t="shared" si="13"/>
        <v>46118</v>
      </c>
      <c r="L69" s="15">
        <f t="shared" si="8"/>
        <v>46118</v>
      </c>
      <c r="M69" s="18" t="s">
        <v>39</v>
      </c>
    </row>
    <row r="70" spans="1:13" x14ac:dyDescent="0.25">
      <c r="A70" s="18" t="s">
        <v>28</v>
      </c>
      <c r="B70" s="3">
        <v>2027</v>
      </c>
      <c r="C70" s="13">
        <v>46475</v>
      </c>
      <c r="D70" s="14">
        <f t="shared" si="11"/>
        <v>46475</v>
      </c>
      <c r="E70" s="15">
        <f t="shared" si="12"/>
        <v>46475</v>
      </c>
      <c r="F70" s="18" t="s">
        <v>39</v>
      </c>
      <c r="H70" s="18" t="s">
        <v>28</v>
      </c>
      <c r="I70" s="3">
        <v>2027</v>
      </c>
      <c r="J70" s="13">
        <v>46475</v>
      </c>
      <c r="K70" s="14">
        <f t="shared" si="13"/>
        <v>46475</v>
      </c>
      <c r="L70" s="15">
        <f t="shared" si="8"/>
        <v>46475</v>
      </c>
      <c r="M70" s="18" t="s">
        <v>39</v>
      </c>
    </row>
    <row r="71" spans="1:13" x14ac:dyDescent="0.25">
      <c r="A71" s="18" t="s">
        <v>28</v>
      </c>
      <c r="B71" s="3">
        <v>2028</v>
      </c>
      <c r="C71" s="13">
        <v>46860</v>
      </c>
      <c r="D71" s="14">
        <f t="shared" si="11"/>
        <v>46860</v>
      </c>
      <c r="E71" s="15">
        <f t="shared" si="12"/>
        <v>46860</v>
      </c>
      <c r="F71" s="18" t="s">
        <v>39</v>
      </c>
      <c r="H71" s="18" t="s">
        <v>28</v>
      </c>
      <c r="I71" s="3">
        <v>2028</v>
      </c>
      <c r="J71" s="13">
        <v>46860</v>
      </c>
      <c r="K71" s="14">
        <f t="shared" si="13"/>
        <v>46860</v>
      </c>
      <c r="L71" s="15">
        <f t="shared" si="8"/>
        <v>46860</v>
      </c>
      <c r="M71" s="18" t="s">
        <v>39</v>
      </c>
    </row>
    <row r="72" spans="1:13" x14ac:dyDescent="0.25">
      <c r="A72" s="18" t="s">
        <v>28</v>
      </c>
      <c r="B72" s="3">
        <v>2029</v>
      </c>
      <c r="C72" s="13">
        <v>47210</v>
      </c>
      <c r="D72" s="14">
        <f t="shared" si="11"/>
        <v>47210</v>
      </c>
      <c r="E72" s="15">
        <f t="shared" si="12"/>
        <v>47210</v>
      </c>
      <c r="F72" s="18" t="s">
        <v>39</v>
      </c>
      <c r="H72" s="18" t="s">
        <v>28</v>
      </c>
      <c r="I72" s="3">
        <v>2029</v>
      </c>
      <c r="J72" s="13">
        <v>47210</v>
      </c>
      <c r="K72" s="14">
        <f t="shared" si="13"/>
        <v>47210</v>
      </c>
      <c r="L72" s="15">
        <f t="shared" si="8"/>
        <v>47210</v>
      </c>
      <c r="M72" s="18" t="s">
        <v>39</v>
      </c>
    </row>
    <row r="73" spans="1:13" x14ac:dyDescent="0.25">
      <c r="A73" s="18" t="s">
        <v>28</v>
      </c>
      <c r="B73" s="3">
        <v>2030</v>
      </c>
      <c r="C73" s="13">
        <v>47595</v>
      </c>
      <c r="D73" s="14">
        <f t="shared" si="11"/>
        <v>47595</v>
      </c>
      <c r="E73" s="15">
        <f t="shared" si="12"/>
        <v>47595</v>
      </c>
      <c r="F73" s="18" t="s">
        <v>39</v>
      </c>
      <c r="H73" s="18" t="s">
        <v>28</v>
      </c>
      <c r="I73" s="3">
        <v>2030</v>
      </c>
      <c r="J73" s="13">
        <v>47595</v>
      </c>
      <c r="K73" s="14">
        <f t="shared" si="13"/>
        <v>47595</v>
      </c>
      <c r="L73" s="15">
        <f t="shared" si="8"/>
        <v>47595</v>
      </c>
      <c r="M73" s="18" t="s">
        <v>39</v>
      </c>
    </row>
    <row r="74" spans="1:13" x14ac:dyDescent="0.25">
      <c r="A74" s="18" t="s">
        <v>33</v>
      </c>
      <c r="B74" s="3">
        <v>2013</v>
      </c>
      <c r="C74" s="13">
        <f t="shared" ref="C74:C91" si="14">CONCATENATE("01/05/",$B2)*1</f>
        <v>41395</v>
      </c>
      <c r="D74" s="14">
        <f t="shared" si="11"/>
        <v>41395</v>
      </c>
      <c r="E74" s="15">
        <f t="shared" si="12"/>
        <v>41395</v>
      </c>
      <c r="F74" s="18" t="s">
        <v>39</v>
      </c>
      <c r="H74" s="18" t="s">
        <v>33</v>
      </c>
      <c r="I74" s="3">
        <v>2013</v>
      </c>
      <c r="J74" s="13">
        <f t="shared" ref="J74:J91" si="15">CONCATENATE("01/05/",$B2)*1</f>
        <v>41395</v>
      </c>
      <c r="K74" s="14">
        <f t="shared" si="13"/>
        <v>41395</v>
      </c>
      <c r="L74" s="15">
        <f t="shared" si="8"/>
        <v>41395</v>
      </c>
      <c r="M74" s="18" t="s">
        <v>39</v>
      </c>
    </row>
    <row r="75" spans="1:13" x14ac:dyDescent="0.25">
      <c r="A75" s="18" t="s">
        <v>33</v>
      </c>
      <c r="B75" s="3">
        <v>2014</v>
      </c>
      <c r="C75" s="13">
        <f t="shared" si="14"/>
        <v>41760</v>
      </c>
      <c r="D75" s="14">
        <f t="shared" si="11"/>
        <v>41760</v>
      </c>
      <c r="E75" s="15">
        <f t="shared" si="12"/>
        <v>41760</v>
      </c>
      <c r="F75" s="18" t="s">
        <v>39</v>
      </c>
      <c r="H75" s="18" t="s">
        <v>33</v>
      </c>
      <c r="I75" s="3">
        <v>2014</v>
      </c>
      <c r="J75" s="13">
        <f t="shared" si="15"/>
        <v>41760</v>
      </c>
      <c r="K75" s="14">
        <f t="shared" si="13"/>
        <v>41760</v>
      </c>
      <c r="L75" s="15">
        <f t="shared" si="8"/>
        <v>41760</v>
      </c>
      <c r="M75" s="18" t="s">
        <v>39</v>
      </c>
    </row>
    <row r="76" spans="1:13" x14ac:dyDescent="0.25">
      <c r="A76" s="18" t="s">
        <v>33</v>
      </c>
      <c r="B76" s="3">
        <v>2015</v>
      </c>
      <c r="C76" s="13">
        <f t="shared" si="14"/>
        <v>42125</v>
      </c>
      <c r="D76" s="14">
        <f t="shared" si="11"/>
        <v>42125</v>
      </c>
      <c r="E76" s="15">
        <f t="shared" si="12"/>
        <v>42125</v>
      </c>
      <c r="F76" s="18" t="s">
        <v>39</v>
      </c>
      <c r="H76" s="18" t="s">
        <v>33</v>
      </c>
      <c r="I76" s="3">
        <v>2015</v>
      </c>
      <c r="J76" s="13">
        <f t="shared" si="15"/>
        <v>42125</v>
      </c>
      <c r="K76" s="14">
        <f t="shared" si="13"/>
        <v>42125</v>
      </c>
      <c r="L76" s="15">
        <f t="shared" si="8"/>
        <v>42125</v>
      </c>
      <c r="M76" s="18" t="s">
        <v>39</v>
      </c>
    </row>
    <row r="77" spans="1:13" x14ac:dyDescent="0.25">
      <c r="A77" s="18" t="s">
        <v>33</v>
      </c>
      <c r="B77" s="3">
        <v>2016</v>
      </c>
      <c r="C77" s="13">
        <f t="shared" si="14"/>
        <v>42491</v>
      </c>
      <c r="D77" s="14">
        <f t="shared" si="11"/>
        <v>42491</v>
      </c>
      <c r="E77" s="15">
        <f t="shared" si="12"/>
        <v>42491</v>
      </c>
      <c r="F77" s="18" t="s">
        <v>39</v>
      </c>
      <c r="H77" s="18" t="s">
        <v>33</v>
      </c>
      <c r="I77" s="3">
        <v>2016</v>
      </c>
      <c r="J77" s="13">
        <f t="shared" si="15"/>
        <v>42491</v>
      </c>
      <c r="K77" s="14">
        <f t="shared" si="13"/>
        <v>42491</v>
      </c>
      <c r="L77" s="15">
        <f t="shared" si="8"/>
        <v>42491</v>
      </c>
      <c r="M77" s="18" t="s">
        <v>39</v>
      </c>
    </row>
    <row r="78" spans="1:13" x14ac:dyDescent="0.25">
      <c r="A78" s="18" t="s">
        <v>33</v>
      </c>
      <c r="B78" s="3">
        <v>2017</v>
      </c>
      <c r="C78" s="13">
        <f t="shared" si="14"/>
        <v>42856</v>
      </c>
      <c r="D78" s="14">
        <f t="shared" si="11"/>
        <v>42856</v>
      </c>
      <c r="E78" s="15">
        <f t="shared" si="12"/>
        <v>42856</v>
      </c>
      <c r="F78" s="18" t="s">
        <v>39</v>
      </c>
      <c r="H78" s="18" t="s">
        <v>33</v>
      </c>
      <c r="I78" s="3">
        <v>2017</v>
      </c>
      <c r="J78" s="13">
        <f t="shared" si="15"/>
        <v>42856</v>
      </c>
      <c r="K78" s="14">
        <f t="shared" si="13"/>
        <v>42856</v>
      </c>
      <c r="L78" s="15">
        <f t="shared" si="8"/>
        <v>42856</v>
      </c>
      <c r="M78" s="18" t="s">
        <v>39</v>
      </c>
    </row>
    <row r="79" spans="1:13" x14ac:dyDescent="0.25">
      <c r="A79" s="18" t="s">
        <v>33</v>
      </c>
      <c r="B79" s="3">
        <v>2018</v>
      </c>
      <c r="C79" s="13">
        <f t="shared" si="14"/>
        <v>43221</v>
      </c>
      <c r="D79" s="14">
        <f t="shared" si="11"/>
        <v>43221</v>
      </c>
      <c r="E79" s="15">
        <f t="shared" si="12"/>
        <v>43221</v>
      </c>
      <c r="F79" s="18" t="s">
        <v>39</v>
      </c>
      <c r="H79" s="18" t="s">
        <v>33</v>
      </c>
      <c r="I79" s="3">
        <v>2018</v>
      </c>
      <c r="J79" s="13">
        <f t="shared" si="15"/>
        <v>43221</v>
      </c>
      <c r="K79" s="14">
        <f t="shared" si="13"/>
        <v>43221</v>
      </c>
      <c r="L79" s="15">
        <f t="shared" si="8"/>
        <v>43221</v>
      </c>
      <c r="M79" s="18" t="s">
        <v>39</v>
      </c>
    </row>
    <row r="80" spans="1:13" x14ac:dyDescent="0.25">
      <c r="A80" s="18" t="s">
        <v>33</v>
      </c>
      <c r="B80" s="3">
        <v>2019</v>
      </c>
      <c r="C80" s="13">
        <f t="shared" si="14"/>
        <v>43586</v>
      </c>
      <c r="D80" s="14">
        <f t="shared" si="11"/>
        <v>43586</v>
      </c>
      <c r="E80" s="15">
        <f t="shared" si="12"/>
        <v>43586</v>
      </c>
      <c r="F80" s="18" t="s">
        <v>39</v>
      </c>
      <c r="H80" s="18" t="s">
        <v>33</v>
      </c>
      <c r="I80" s="3">
        <v>2019</v>
      </c>
      <c r="J80" s="13">
        <f t="shared" si="15"/>
        <v>43586</v>
      </c>
      <c r="K80" s="14">
        <f t="shared" si="13"/>
        <v>43586</v>
      </c>
      <c r="L80" s="15">
        <f t="shared" si="8"/>
        <v>43586</v>
      </c>
      <c r="M80" s="18" t="s">
        <v>39</v>
      </c>
    </row>
    <row r="81" spans="1:13" x14ac:dyDescent="0.25">
      <c r="A81" s="18" t="s">
        <v>33</v>
      </c>
      <c r="B81" s="3">
        <v>2020</v>
      </c>
      <c r="C81" s="13">
        <f t="shared" si="14"/>
        <v>43952</v>
      </c>
      <c r="D81" s="14">
        <f t="shared" si="11"/>
        <v>43952</v>
      </c>
      <c r="E81" s="15">
        <f t="shared" si="12"/>
        <v>43952</v>
      </c>
      <c r="F81" s="18" t="s">
        <v>39</v>
      </c>
      <c r="H81" s="18" t="s">
        <v>33</v>
      </c>
      <c r="I81" s="3">
        <v>2020</v>
      </c>
      <c r="J81" s="13">
        <f t="shared" si="15"/>
        <v>43952</v>
      </c>
      <c r="K81" s="14">
        <f t="shared" si="13"/>
        <v>43952</v>
      </c>
      <c r="L81" s="15">
        <f t="shared" si="8"/>
        <v>43952</v>
      </c>
      <c r="M81" s="18" t="s">
        <v>39</v>
      </c>
    </row>
    <row r="82" spans="1:13" x14ac:dyDescent="0.25">
      <c r="A82" s="18" t="s">
        <v>33</v>
      </c>
      <c r="B82" s="3">
        <v>2021</v>
      </c>
      <c r="C82" s="13">
        <f t="shared" si="14"/>
        <v>44317</v>
      </c>
      <c r="D82" s="14">
        <f t="shared" si="11"/>
        <v>44317</v>
      </c>
      <c r="E82" s="15">
        <f t="shared" si="12"/>
        <v>44317</v>
      </c>
      <c r="F82" s="18" t="s">
        <v>39</v>
      </c>
      <c r="H82" s="18" t="s">
        <v>33</v>
      </c>
      <c r="I82" s="3">
        <v>2021</v>
      </c>
      <c r="J82" s="13">
        <f t="shared" si="15"/>
        <v>44317</v>
      </c>
      <c r="K82" s="14">
        <f t="shared" si="13"/>
        <v>44317</v>
      </c>
      <c r="L82" s="15">
        <f t="shared" si="8"/>
        <v>44317</v>
      </c>
      <c r="M82" s="18" t="s">
        <v>39</v>
      </c>
    </row>
    <row r="83" spans="1:13" x14ac:dyDescent="0.25">
      <c r="A83" s="18" t="s">
        <v>33</v>
      </c>
      <c r="B83" s="3">
        <v>2022</v>
      </c>
      <c r="C83" s="13">
        <f t="shared" si="14"/>
        <v>44682</v>
      </c>
      <c r="D83" s="14">
        <f t="shared" si="11"/>
        <v>44682</v>
      </c>
      <c r="E83" s="15">
        <f t="shared" si="12"/>
        <v>44682</v>
      </c>
      <c r="F83" s="18" t="s">
        <v>39</v>
      </c>
      <c r="H83" s="18" t="s">
        <v>33</v>
      </c>
      <c r="I83" s="3">
        <v>2022</v>
      </c>
      <c r="J83" s="13">
        <f t="shared" si="15"/>
        <v>44682</v>
      </c>
      <c r="K83" s="14">
        <f t="shared" si="13"/>
        <v>44682</v>
      </c>
      <c r="L83" s="15">
        <f t="shared" si="8"/>
        <v>44682</v>
      </c>
      <c r="M83" s="18" t="s">
        <v>39</v>
      </c>
    </row>
    <row r="84" spans="1:13" x14ac:dyDescent="0.25">
      <c r="A84" s="18" t="s">
        <v>33</v>
      </c>
      <c r="B84" s="3">
        <v>2023</v>
      </c>
      <c r="C84" s="13">
        <f t="shared" si="14"/>
        <v>45047</v>
      </c>
      <c r="D84" s="14">
        <f t="shared" si="11"/>
        <v>45047</v>
      </c>
      <c r="E84" s="15">
        <f t="shared" si="12"/>
        <v>45047</v>
      </c>
      <c r="F84" s="18" t="s">
        <v>39</v>
      </c>
      <c r="H84" s="18" t="s">
        <v>33</v>
      </c>
      <c r="I84" s="3">
        <v>2023</v>
      </c>
      <c r="J84" s="13">
        <f t="shared" si="15"/>
        <v>45047</v>
      </c>
      <c r="K84" s="14">
        <f t="shared" si="13"/>
        <v>45047</v>
      </c>
      <c r="L84" s="15">
        <f t="shared" si="8"/>
        <v>45047</v>
      </c>
      <c r="M84" s="18" t="s">
        <v>39</v>
      </c>
    </row>
    <row r="85" spans="1:13" x14ac:dyDescent="0.25">
      <c r="A85" s="18" t="s">
        <v>33</v>
      </c>
      <c r="B85" s="3">
        <v>2024</v>
      </c>
      <c r="C85" s="13">
        <f t="shared" si="14"/>
        <v>45413</v>
      </c>
      <c r="D85" s="14">
        <f t="shared" si="11"/>
        <v>45413</v>
      </c>
      <c r="E85" s="15">
        <f t="shared" si="12"/>
        <v>45413</v>
      </c>
      <c r="F85" s="18" t="s">
        <v>39</v>
      </c>
      <c r="H85" s="18" t="s">
        <v>33</v>
      </c>
      <c r="I85" s="3">
        <v>2024</v>
      </c>
      <c r="J85" s="13">
        <f t="shared" si="15"/>
        <v>45413</v>
      </c>
      <c r="K85" s="14">
        <f t="shared" si="13"/>
        <v>45413</v>
      </c>
      <c r="L85" s="15">
        <f t="shared" ref="L85:L148" si="16">J85</f>
        <v>45413</v>
      </c>
      <c r="M85" s="18" t="s">
        <v>39</v>
      </c>
    </row>
    <row r="86" spans="1:13" x14ac:dyDescent="0.25">
      <c r="A86" s="18" t="s">
        <v>33</v>
      </c>
      <c r="B86" s="3">
        <v>2025</v>
      </c>
      <c r="C86" s="13">
        <f t="shared" si="14"/>
        <v>45778</v>
      </c>
      <c r="D86" s="14">
        <f t="shared" si="11"/>
        <v>45778</v>
      </c>
      <c r="E86" s="15">
        <f t="shared" si="12"/>
        <v>45778</v>
      </c>
      <c r="F86" s="18" t="s">
        <v>39</v>
      </c>
      <c r="H86" s="18" t="s">
        <v>33</v>
      </c>
      <c r="I86" s="3">
        <v>2025</v>
      </c>
      <c r="J86" s="13">
        <f t="shared" si="15"/>
        <v>45778</v>
      </c>
      <c r="K86" s="14">
        <f t="shared" si="13"/>
        <v>45778</v>
      </c>
      <c r="L86" s="15">
        <f t="shared" si="16"/>
        <v>45778</v>
      </c>
      <c r="M86" s="18" t="s">
        <v>39</v>
      </c>
    </row>
    <row r="87" spans="1:13" x14ac:dyDescent="0.25">
      <c r="A87" s="18" t="s">
        <v>33</v>
      </c>
      <c r="B87" s="3">
        <v>2026</v>
      </c>
      <c r="C87" s="13">
        <f t="shared" si="14"/>
        <v>46143</v>
      </c>
      <c r="D87" s="14">
        <f t="shared" si="11"/>
        <v>46143</v>
      </c>
      <c r="E87" s="15">
        <f t="shared" si="12"/>
        <v>46143</v>
      </c>
      <c r="F87" s="18" t="s">
        <v>39</v>
      </c>
      <c r="H87" s="18" t="s">
        <v>33</v>
      </c>
      <c r="I87" s="3">
        <v>2026</v>
      </c>
      <c r="J87" s="13">
        <f t="shared" si="15"/>
        <v>46143</v>
      </c>
      <c r="K87" s="14">
        <f t="shared" si="13"/>
        <v>46143</v>
      </c>
      <c r="L87" s="15">
        <f t="shared" si="16"/>
        <v>46143</v>
      </c>
      <c r="M87" s="18" t="s">
        <v>39</v>
      </c>
    </row>
    <row r="88" spans="1:13" x14ac:dyDescent="0.25">
      <c r="A88" s="18" t="s">
        <v>33</v>
      </c>
      <c r="B88" s="3">
        <v>2027</v>
      </c>
      <c r="C88" s="13">
        <f t="shared" si="14"/>
        <v>46508</v>
      </c>
      <c r="D88" s="14">
        <f t="shared" si="11"/>
        <v>46508</v>
      </c>
      <c r="E88" s="15">
        <f t="shared" si="12"/>
        <v>46508</v>
      </c>
      <c r="F88" s="18" t="s">
        <v>39</v>
      </c>
      <c r="H88" s="18" t="s">
        <v>33</v>
      </c>
      <c r="I88" s="3">
        <v>2027</v>
      </c>
      <c r="J88" s="13">
        <f t="shared" si="15"/>
        <v>46508</v>
      </c>
      <c r="K88" s="14">
        <f t="shared" si="13"/>
        <v>46508</v>
      </c>
      <c r="L88" s="15">
        <f t="shared" si="16"/>
        <v>46508</v>
      </c>
      <c r="M88" s="18" t="s">
        <v>39</v>
      </c>
    </row>
    <row r="89" spans="1:13" x14ac:dyDescent="0.25">
      <c r="A89" s="18" t="s">
        <v>33</v>
      </c>
      <c r="B89" s="3">
        <v>2028</v>
      </c>
      <c r="C89" s="13">
        <f t="shared" si="14"/>
        <v>46874</v>
      </c>
      <c r="D89" s="14">
        <f t="shared" si="11"/>
        <v>46874</v>
      </c>
      <c r="E89" s="15">
        <f t="shared" si="12"/>
        <v>46874</v>
      </c>
      <c r="F89" s="18" t="s">
        <v>39</v>
      </c>
      <c r="H89" s="18" t="s">
        <v>33</v>
      </c>
      <c r="I89" s="3">
        <v>2028</v>
      </c>
      <c r="J89" s="13">
        <f t="shared" si="15"/>
        <v>46874</v>
      </c>
      <c r="K89" s="14">
        <f t="shared" si="13"/>
        <v>46874</v>
      </c>
      <c r="L89" s="15">
        <f t="shared" si="16"/>
        <v>46874</v>
      </c>
      <c r="M89" s="18" t="s">
        <v>39</v>
      </c>
    </row>
    <row r="90" spans="1:13" x14ac:dyDescent="0.25">
      <c r="A90" s="18" t="s">
        <v>33</v>
      </c>
      <c r="B90" s="3">
        <v>2029</v>
      </c>
      <c r="C90" s="13">
        <f t="shared" si="14"/>
        <v>47239</v>
      </c>
      <c r="D90" s="14">
        <f t="shared" si="11"/>
        <v>47239</v>
      </c>
      <c r="E90" s="15">
        <f t="shared" si="12"/>
        <v>47239</v>
      </c>
      <c r="F90" s="18" t="s">
        <v>39</v>
      </c>
      <c r="H90" s="18" t="s">
        <v>33</v>
      </c>
      <c r="I90" s="3">
        <v>2029</v>
      </c>
      <c r="J90" s="13">
        <f t="shared" si="15"/>
        <v>47239</v>
      </c>
      <c r="K90" s="14">
        <f t="shared" si="13"/>
        <v>47239</v>
      </c>
      <c r="L90" s="15">
        <f t="shared" si="16"/>
        <v>47239</v>
      </c>
      <c r="M90" s="18" t="s">
        <v>39</v>
      </c>
    </row>
    <row r="91" spans="1:13" x14ac:dyDescent="0.25">
      <c r="A91" s="18" t="s">
        <v>33</v>
      </c>
      <c r="B91" s="3">
        <v>2030</v>
      </c>
      <c r="C91" s="13">
        <f t="shared" si="14"/>
        <v>47604</v>
      </c>
      <c r="D91" s="14">
        <f t="shared" si="11"/>
        <v>47604</v>
      </c>
      <c r="E91" s="15">
        <f t="shared" si="12"/>
        <v>47604</v>
      </c>
      <c r="F91" s="18" t="s">
        <v>39</v>
      </c>
      <c r="H91" s="18" t="s">
        <v>33</v>
      </c>
      <c r="I91" s="3">
        <v>2030</v>
      </c>
      <c r="J91" s="13">
        <f t="shared" si="15"/>
        <v>47604</v>
      </c>
      <c r="K91" s="14">
        <f t="shared" si="13"/>
        <v>47604</v>
      </c>
      <c r="L91" s="15">
        <f t="shared" si="16"/>
        <v>47604</v>
      </c>
      <c r="M91" s="18" t="s">
        <v>39</v>
      </c>
    </row>
    <row r="92" spans="1:13" x14ac:dyDescent="0.25">
      <c r="A92" s="18" t="s">
        <v>34</v>
      </c>
      <c r="B92" s="3">
        <v>2013</v>
      </c>
      <c r="C92" s="13">
        <f t="shared" ref="C92:C109" si="17">CONCATENATE("02/06/",$B2)*1</f>
        <v>41427</v>
      </c>
      <c r="D92" s="14">
        <f t="shared" si="11"/>
        <v>41427</v>
      </c>
      <c r="E92" s="15">
        <f t="shared" si="12"/>
        <v>41427</v>
      </c>
      <c r="F92" s="18" t="s">
        <v>39</v>
      </c>
      <c r="H92" s="18" t="s">
        <v>34</v>
      </c>
      <c r="I92" s="3">
        <v>2013</v>
      </c>
      <c r="J92" s="13">
        <f t="shared" ref="J92:J109" si="18">CONCATENATE("02/06/",$B2)*1</f>
        <v>41427</v>
      </c>
      <c r="K92" s="14">
        <f t="shared" si="13"/>
        <v>41427</v>
      </c>
      <c r="L92" s="15">
        <f t="shared" si="16"/>
        <v>41427</v>
      </c>
      <c r="M92" s="18" t="s">
        <v>39</v>
      </c>
    </row>
    <row r="93" spans="1:13" x14ac:dyDescent="0.25">
      <c r="A93" s="18" t="s">
        <v>34</v>
      </c>
      <c r="B93" s="3">
        <v>2014</v>
      </c>
      <c r="C93" s="13">
        <f t="shared" si="17"/>
        <v>41792</v>
      </c>
      <c r="D93" s="14">
        <f t="shared" si="11"/>
        <v>41792</v>
      </c>
      <c r="E93" s="15">
        <f t="shared" si="12"/>
        <v>41792</v>
      </c>
      <c r="F93" s="18" t="s">
        <v>39</v>
      </c>
      <c r="H93" s="18" t="s">
        <v>34</v>
      </c>
      <c r="I93" s="3">
        <v>2014</v>
      </c>
      <c r="J93" s="13">
        <f t="shared" si="18"/>
        <v>41792</v>
      </c>
      <c r="K93" s="14">
        <f t="shared" si="13"/>
        <v>41792</v>
      </c>
      <c r="L93" s="15">
        <f t="shared" si="16"/>
        <v>41792</v>
      </c>
      <c r="M93" s="18" t="s">
        <v>39</v>
      </c>
    </row>
    <row r="94" spans="1:13" x14ac:dyDescent="0.25">
      <c r="A94" s="18" t="s">
        <v>34</v>
      </c>
      <c r="B94" s="3">
        <v>2015</v>
      </c>
      <c r="C94" s="13">
        <f t="shared" si="17"/>
        <v>42157</v>
      </c>
      <c r="D94" s="14">
        <f t="shared" si="11"/>
        <v>42157</v>
      </c>
      <c r="E94" s="15">
        <f t="shared" si="12"/>
        <v>42157</v>
      </c>
      <c r="F94" s="18" t="s">
        <v>39</v>
      </c>
      <c r="H94" s="18" t="s">
        <v>34</v>
      </c>
      <c r="I94" s="3">
        <v>2015</v>
      </c>
      <c r="J94" s="13">
        <f t="shared" si="18"/>
        <v>42157</v>
      </c>
      <c r="K94" s="14">
        <f t="shared" si="13"/>
        <v>42157</v>
      </c>
      <c r="L94" s="15">
        <f t="shared" si="16"/>
        <v>42157</v>
      </c>
      <c r="M94" s="18" t="s">
        <v>39</v>
      </c>
    </row>
    <row r="95" spans="1:13" x14ac:dyDescent="0.25">
      <c r="A95" s="18" t="s">
        <v>34</v>
      </c>
      <c r="B95" s="3">
        <v>2016</v>
      </c>
      <c r="C95" s="13">
        <f t="shared" si="17"/>
        <v>42523</v>
      </c>
      <c r="D95" s="14">
        <f t="shared" si="11"/>
        <v>42523</v>
      </c>
      <c r="E95" s="15">
        <f t="shared" si="12"/>
        <v>42523</v>
      </c>
      <c r="F95" s="18" t="s">
        <v>39</v>
      </c>
      <c r="H95" s="18" t="s">
        <v>34</v>
      </c>
      <c r="I95" s="3">
        <v>2016</v>
      </c>
      <c r="J95" s="13">
        <f t="shared" si="18"/>
        <v>42523</v>
      </c>
      <c r="K95" s="14">
        <f t="shared" si="13"/>
        <v>42523</v>
      </c>
      <c r="L95" s="15">
        <f t="shared" si="16"/>
        <v>42523</v>
      </c>
      <c r="M95" s="18" t="s">
        <v>39</v>
      </c>
    </row>
    <row r="96" spans="1:13" x14ac:dyDescent="0.25">
      <c r="A96" s="18" t="s">
        <v>34</v>
      </c>
      <c r="B96" s="3">
        <v>2017</v>
      </c>
      <c r="C96" s="13">
        <f t="shared" si="17"/>
        <v>42888</v>
      </c>
      <c r="D96" s="14">
        <f t="shared" si="11"/>
        <v>42888</v>
      </c>
      <c r="E96" s="15">
        <f t="shared" si="12"/>
        <v>42888</v>
      </c>
      <c r="F96" s="18" t="s">
        <v>39</v>
      </c>
      <c r="H96" s="18" t="s">
        <v>34</v>
      </c>
      <c r="I96" s="3">
        <v>2017</v>
      </c>
      <c r="J96" s="13">
        <f t="shared" si="18"/>
        <v>42888</v>
      </c>
      <c r="K96" s="14">
        <f t="shared" si="13"/>
        <v>42888</v>
      </c>
      <c r="L96" s="15">
        <f t="shared" si="16"/>
        <v>42888</v>
      </c>
      <c r="M96" s="18" t="s">
        <v>39</v>
      </c>
    </row>
    <row r="97" spans="1:13" x14ac:dyDescent="0.25">
      <c r="A97" s="18" t="s">
        <v>34</v>
      </c>
      <c r="B97" s="3">
        <v>2018</v>
      </c>
      <c r="C97" s="13">
        <f t="shared" si="17"/>
        <v>43253</v>
      </c>
      <c r="D97" s="14">
        <f t="shared" si="11"/>
        <v>43253</v>
      </c>
      <c r="E97" s="15">
        <f t="shared" si="12"/>
        <v>43253</v>
      </c>
      <c r="F97" s="18" t="s">
        <v>39</v>
      </c>
      <c r="H97" s="18" t="s">
        <v>34</v>
      </c>
      <c r="I97" s="3">
        <v>2018</v>
      </c>
      <c r="J97" s="13">
        <f t="shared" si="18"/>
        <v>43253</v>
      </c>
      <c r="K97" s="14">
        <f t="shared" si="13"/>
        <v>43253</v>
      </c>
      <c r="L97" s="15">
        <f t="shared" si="16"/>
        <v>43253</v>
      </c>
      <c r="M97" s="18" t="s">
        <v>39</v>
      </c>
    </row>
    <row r="98" spans="1:13" x14ac:dyDescent="0.25">
      <c r="A98" s="18" t="s">
        <v>34</v>
      </c>
      <c r="B98" s="3">
        <v>2019</v>
      </c>
      <c r="C98" s="13">
        <f t="shared" si="17"/>
        <v>43618</v>
      </c>
      <c r="D98" s="14">
        <f t="shared" si="11"/>
        <v>43618</v>
      </c>
      <c r="E98" s="15">
        <f t="shared" si="12"/>
        <v>43618</v>
      </c>
      <c r="F98" s="18" t="s">
        <v>39</v>
      </c>
      <c r="H98" s="18" t="s">
        <v>34</v>
      </c>
      <c r="I98" s="3">
        <v>2019</v>
      </c>
      <c r="J98" s="13">
        <f t="shared" si="18"/>
        <v>43618</v>
      </c>
      <c r="K98" s="14">
        <f t="shared" si="13"/>
        <v>43618</v>
      </c>
      <c r="L98" s="15">
        <f t="shared" si="16"/>
        <v>43618</v>
      </c>
      <c r="M98" s="18" t="s">
        <v>39</v>
      </c>
    </row>
    <row r="99" spans="1:13" x14ac:dyDescent="0.25">
      <c r="A99" s="18" t="s">
        <v>34</v>
      </c>
      <c r="B99" s="3">
        <v>2020</v>
      </c>
      <c r="C99" s="13">
        <f t="shared" si="17"/>
        <v>43984</v>
      </c>
      <c r="D99" s="14">
        <f t="shared" si="11"/>
        <v>43984</v>
      </c>
      <c r="E99" s="15">
        <f t="shared" si="12"/>
        <v>43984</v>
      </c>
      <c r="F99" s="18" t="s">
        <v>39</v>
      </c>
      <c r="H99" s="18" t="s">
        <v>34</v>
      </c>
      <c r="I99" s="3">
        <v>2020</v>
      </c>
      <c r="J99" s="13">
        <f t="shared" si="18"/>
        <v>43984</v>
      </c>
      <c r="K99" s="14">
        <f t="shared" si="13"/>
        <v>43984</v>
      </c>
      <c r="L99" s="15">
        <f t="shared" si="16"/>
        <v>43984</v>
      </c>
      <c r="M99" s="18" t="s">
        <v>39</v>
      </c>
    </row>
    <row r="100" spans="1:13" x14ac:dyDescent="0.25">
      <c r="A100" s="18" t="s">
        <v>34</v>
      </c>
      <c r="B100" s="3">
        <v>2021</v>
      </c>
      <c r="C100" s="13">
        <f t="shared" si="17"/>
        <v>44349</v>
      </c>
      <c r="D100" s="14">
        <f t="shared" si="11"/>
        <v>44349</v>
      </c>
      <c r="E100" s="15">
        <f t="shared" si="12"/>
        <v>44349</v>
      </c>
      <c r="F100" s="18" t="s">
        <v>39</v>
      </c>
      <c r="H100" s="18" t="s">
        <v>34</v>
      </c>
      <c r="I100" s="3">
        <v>2021</v>
      </c>
      <c r="J100" s="13">
        <f t="shared" si="18"/>
        <v>44349</v>
      </c>
      <c r="K100" s="14">
        <f t="shared" si="13"/>
        <v>44349</v>
      </c>
      <c r="L100" s="15">
        <f t="shared" si="16"/>
        <v>44349</v>
      </c>
      <c r="M100" s="18" t="s">
        <v>39</v>
      </c>
    </row>
    <row r="101" spans="1:13" x14ac:dyDescent="0.25">
      <c r="A101" s="18" t="s">
        <v>34</v>
      </c>
      <c r="B101" s="3">
        <v>2022</v>
      </c>
      <c r="C101" s="13">
        <f t="shared" si="17"/>
        <v>44714</v>
      </c>
      <c r="D101" s="14">
        <f t="shared" si="11"/>
        <v>44714</v>
      </c>
      <c r="E101" s="15">
        <f t="shared" si="12"/>
        <v>44714</v>
      </c>
      <c r="F101" s="18" t="s">
        <v>39</v>
      </c>
      <c r="H101" s="18" t="s">
        <v>34</v>
      </c>
      <c r="I101" s="3">
        <v>2022</v>
      </c>
      <c r="J101" s="13">
        <f t="shared" si="18"/>
        <v>44714</v>
      </c>
      <c r="K101" s="14">
        <f t="shared" si="13"/>
        <v>44714</v>
      </c>
      <c r="L101" s="15">
        <f t="shared" si="16"/>
        <v>44714</v>
      </c>
      <c r="M101" s="18" t="s">
        <v>39</v>
      </c>
    </row>
    <row r="102" spans="1:13" x14ac:dyDescent="0.25">
      <c r="A102" s="18" t="s">
        <v>34</v>
      </c>
      <c r="B102" s="3">
        <v>2023</v>
      </c>
      <c r="C102" s="13">
        <f t="shared" si="17"/>
        <v>45079</v>
      </c>
      <c r="D102" s="14">
        <f t="shared" si="11"/>
        <v>45079</v>
      </c>
      <c r="E102" s="15">
        <f t="shared" si="12"/>
        <v>45079</v>
      </c>
      <c r="F102" s="18" t="s">
        <v>39</v>
      </c>
      <c r="H102" s="18" t="s">
        <v>34</v>
      </c>
      <c r="I102" s="3">
        <v>2023</v>
      </c>
      <c r="J102" s="13">
        <f t="shared" si="18"/>
        <v>45079</v>
      </c>
      <c r="K102" s="14">
        <f t="shared" si="13"/>
        <v>45079</v>
      </c>
      <c r="L102" s="15">
        <f t="shared" si="16"/>
        <v>45079</v>
      </c>
      <c r="M102" s="18" t="s">
        <v>39</v>
      </c>
    </row>
    <row r="103" spans="1:13" x14ac:dyDescent="0.25">
      <c r="A103" s="18" t="s">
        <v>34</v>
      </c>
      <c r="B103" s="3">
        <v>2024</v>
      </c>
      <c r="C103" s="13">
        <f t="shared" si="17"/>
        <v>45445</v>
      </c>
      <c r="D103" s="14">
        <f t="shared" si="11"/>
        <v>45445</v>
      </c>
      <c r="E103" s="15">
        <f t="shared" si="12"/>
        <v>45445</v>
      </c>
      <c r="F103" s="18" t="s">
        <v>39</v>
      </c>
      <c r="H103" s="18" t="s">
        <v>34</v>
      </c>
      <c r="I103" s="3">
        <v>2024</v>
      </c>
      <c r="J103" s="13">
        <f t="shared" si="18"/>
        <v>45445</v>
      </c>
      <c r="K103" s="14">
        <f t="shared" si="13"/>
        <v>45445</v>
      </c>
      <c r="L103" s="15">
        <f t="shared" si="16"/>
        <v>45445</v>
      </c>
      <c r="M103" s="18" t="s">
        <v>39</v>
      </c>
    </row>
    <row r="104" spans="1:13" x14ac:dyDescent="0.25">
      <c r="A104" s="18" t="s">
        <v>34</v>
      </c>
      <c r="B104" s="3">
        <v>2025</v>
      </c>
      <c r="C104" s="13">
        <f t="shared" si="17"/>
        <v>45810</v>
      </c>
      <c r="D104" s="14">
        <f t="shared" si="11"/>
        <v>45810</v>
      </c>
      <c r="E104" s="15">
        <f t="shared" si="12"/>
        <v>45810</v>
      </c>
      <c r="F104" s="18" t="s">
        <v>39</v>
      </c>
      <c r="H104" s="18" t="s">
        <v>34</v>
      </c>
      <c r="I104" s="3">
        <v>2025</v>
      </c>
      <c r="J104" s="13">
        <f t="shared" si="18"/>
        <v>45810</v>
      </c>
      <c r="K104" s="14">
        <f t="shared" si="13"/>
        <v>45810</v>
      </c>
      <c r="L104" s="15">
        <f t="shared" si="16"/>
        <v>45810</v>
      </c>
      <c r="M104" s="18" t="s">
        <v>39</v>
      </c>
    </row>
    <row r="105" spans="1:13" x14ac:dyDescent="0.25">
      <c r="A105" s="18" t="s">
        <v>34</v>
      </c>
      <c r="B105" s="3">
        <v>2026</v>
      </c>
      <c r="C105" s="13">
        <f t="shared" si="17"/>
        <v>46175</v>
      </c>
      <c r="D105" s="14">
        <f t="shared" si="11"/>
        <v>46175</v>
      </c>
      <c r="E105" s="15">
        <f t="shared" si="12"/>
        <v>46175</v>
      </c>
      <c r="F105" s="18" t="s">
        <v>39</v>
      </c>
      <c r="H105" s="18" t="s">
        <v>34</v>
      </c>
      <c r="I105" s="3">
        <v>2026</v>
      </c>
      <c r="J105" s="13">
        <f t="shared" si="18"/>
        <v>46175</v>
      </c>
      <c r="K105" s="14">
        <f t="shared" si="13"/>
        <v>46175</v>
      </c>
      <c r="L105" s="15">
        <f t="shared" si="16"/>
        <v>46175</v>
      </c>
      <c r="M105" s="18" t="s">
        <v>39</v>
      </c>
    </row>
    <row r="106" spans="1:13" x14ac:dyDescent="0.25">
      <c r="A106" s="18" t="s">
        <v>34</v>
      </c>
      <c r="B106" s="3">
        <v>2027</v>
      </c>
      <c r="C106" s="13">
        <f t="shared" si="17"/>
        <v>46540</v>
      </c>
      <c r="D106" s="14">
        <f t="shared" si="11"/>
        <v>46540</v>
      </c>
      <c r="E106" s="15">
        <f t="shared" si="12"/>
        <v>46540</v>
      </c>
      <c r="F106" s="18" t="s">
        <v>39</v>
      </c>
      <c r="H106" s="18" t="s">
        <v>34</v>
      </c>
      <c r="I106" s="3">
        <v>2027</v>
      </c>
      <c r="J106" s="13">
        <f t="shared" si="18"/>
        <v>46540</v>
      </c>
      <c r="K106" s="14">
        <f t="shared" si="13"/>
        <v>46540</v>
      </c>
      <c r="L106" s="15">
        <f t="shared" si="16"/>
        <v>46540</v>
      </c>
      <c r="M106" s="18" t="s">
        <v>39</v>
      </c>
    </row>
    <row r="107" spans="1:13" x14ac:dyDescent="0.25">
      <c r="A107" s="18" t="s">
        <v>34</v>
      </c>
      <c r="B107" s="3">
        <v>2028</v>
      </c>
      <c r="C107" s="13">
        <f t="shared" si="17"/>
        <v>46906</v>
      </c>
      <c r="D107" s="14">
        <f t="shared" si="11"/>
        <v>46906</v>
      </c>
      <c r="E107" s="15">
        <f t="shared" si="12"/>
        <v>46906</v>
      </c>
      <c r="F107" s="18" t="s">
        <v>39</v>
      </c>
      <c r="H107" s="18" t="s">
        <v>34</v>
      </c>
      <c r="I107" s="3">
        <v>2028</v>
      </c>
      <c r="J107" s="13">
        <f t="shared" si="18"/>
        <v>46906</v>
      </c>
      <c r="K107" s="14">
        <f t="shared" si="13"/>
        <v>46906</v>
      </c>
      <c r="L107" s="15">
        <f t="shared" si="16"/>
        <v>46906</v>
      </c>
      <c r="M107" s="18" t="s">
        <v>39</v>
      </c>
    </row>
    <row r="108" spans="1:13" x14ac:dyDescent="0.25">
      <c r="A108" s="18" t="s">
        <v>34</v>
      </c>
      <c r="B108" s="3">
        <v>2029</v>
      </c>
      <c r="C108" s="13">
        <f t="shared" si="17"/>
        <v>47271</v>
      </c>
      <c r="D108" s="14">
        <f t="shared" si="11"/>
        <v>47271</v>
      </c>
      <c r="E108" s="15">
        <f t="shared" si="12"/>
        <v>47271</v>
      </c>
      <c r="F108" s="18" t="s">
        <v>39</v>
      </c>
      <c r="H108" s="18" t="s">
        <v>34</v>
      </c>
      <c r="I108" s="3">
        <v>2029</v>
      </c>
      <c r="J108" s="13">
        <f t="shared" si="18"/>
        <v>47271</v>
      </c>
      <c r="K108" s="14">
        <f t="shared" si="13"/>
        <v>47271</v>
      </c>
      <c r="L108" s="15">
        <f t="shared" si="16"/>
        <v>47271</v>
      </c>
      <c r="M108" s="18" t="s">
        <v>39</v>
      </c>
    </row>
    <row r="109" spans="1:13" x14ac:dyDescent="0.25">
      <c r="A109" s="18" t="s">
        <v>34</v>
      </c>
      <c r="B109" s="3">
        <v>2030</v>
      </c>
      <c r="C109" s="13">
        <f t="shared" si="17"/>
        <v>47636</v>
      </c>
      <c r="D109" s="14">
        <f t="shared" si="11"/>
        <v>47636</v>
      </c>
      <c r="E109" s="15">
        <f t="shared" si="12"/>
        <v>47636</v>
      </c>
      <c r="F109" s="18" t="s">
        <v>39</v>
      </c>
      <c r="H109" s="18" t="s">
        <v>34</v>
      </c>
      <c r="I109" s="3">
        <v>2030</v>
      </c>
      <c r="J109" s="13">
        <f t="shared" si="18"/>
        <v>47636</v>
      </c>
      <c r="K109" s="14">
        <f t="shared" si="13"/>
        <v>47636</v>
      </c>
      <c r="L109" s="15">
        <f t="shared" si="16"/>
        <v>47636</v>
      </c>
      <c r="M109" s="18" t="s">
        <v>39</v>
      </c>
    </row>
    <row r="110" spans="1:13" x14ac:dyDescent="0.25">
      <c r="A110" s="18" t="s">
        <v>35</v>
      </c>
      <c r="B110" s="3">
        <v>2013</v>
      </c>
      <c r="C110" s="13">
        <f t="shared" ref="C110:C127" si="19">CONCATENATE("15/08/",$B2)*1</f>
        <v>41501</v>
      </c>
      <c r="D110" s="14">
        <f t="shared" si="11"/>
        <v>41501</v>
      </c>
      <c r="E110" s="15">
        <f t="shared" si="12"/>
        <v>41501</v>
      </c>
      <c r="F110" s="18" t="s">
        <v>39</v>
      </c>
      <c r="H110" s="18" t="s">
        <v>35</v>
      </c>
      <c r="I110" s="3">
        <v>2013</v>
      </c>
      <c r="J110" s="13">
        <f t="shared" ref="J110:J127" si="20">CONCATENATE("15/08/",$B2)*1</f>
        <v>41501</v>
      </c>
      <c r="K110" s="14">
        <f t="shared" si="13"/>
        <v>41501</v>
      </c>
      <c r="L110" s="15">
        <f t="shared" si="16"/>
        <v>41501</v>
      </c>
      <c r="M110" s="18" t="s">
        <v>39</v>
      </c>
    </row>
    <row r="111" spans="1:13" x14ac:dyDescent="0.25">
      <c r="A111" s="18" t="s">
        <v>35</v>
      </c>
      <c r="B111" s="3">
        <v>2014</v>
      </c>
      <c r="C111" s="13">
        <f t="shared" si="19"/>
        <v>41866</v>
      </c>
      <c r="D111" s="14">
        <f t="shared" si="11"/>
        <v>41866</v>
      </c>
      <c r="E111" s="15">
        <f t="shared" si="12"/>
        <v>41866</v>
      </c>
      <c r="F111" s="18" t="s">
        <v>39</v>
      </c>
      <c r="H111" s="18" t="s">
        <v>35</v>
      </c>
      <c r="I111" s="3">
        <v>2014</v>
      </c>
      <c r="J111" s="13">
        <f t="shared" si="20"/>
        <v>41866</v>
      </c>
      <c r="K111" s="14">
        <f t="shared" si="13"/>
        <v>41866</v>
      </c>
      <c r="L111" s="15">
        <f t="shared" si="16"/>
        <v>41866</v>
      </c>
      <c r="M111" s="18" t="s">
        <v>39</v>
      </c>
    </row>
    <row r="112" spans="1:13" x14ac:dyDescent="0.25">
      <c r="A112" s="18" t="s">
        <v>35</v>
      </c>
      <c r="B112" s="3">
        <v>2015</v>
      </c>
      <c r="C112" s="13">
        <f t="shared" si="19"/>
        <v>42231</v>
      </c>
      <c r="D112" s="14">
        <f t="shared" si="11"/>
        <v>42231</v>
      </c>
      <c r="E112" s="15">
        <f t="shared" si="12"/>
        <v>42231</v>
      </c>
      <c r="F112" s="18" t="s">
        <v>39</v>
      </c>
      <c r="H112" s="18" t="s">
        <v>35</v>
      </c>
      <c r="I112" s="3">
        <v>2015</v>
      </c>
      <c r="J112" s="13">
        <f t="shared" si="20"/>
        <v>42231</v>
      </c>
      <c r="K112" s="14">
        <f t="shared" si="13"/>
        <v>42231</v>
      </c>
      <c r="L112" s="15">
        <f t="shared" si="16"/>
        <v>42231</v>
      </c>
      <c r="M112" s="18" t="s">
        <v>39</v>
      </c>
    </row>
    <row r="113" spans="1:13" x14ac:dyDescent="0.25">
      <c r="A113" s="18" t="s">
        <v>35</v>
      </c>
      <c r="B113" s="3">
        <v>2016</v>
      </c>
      <c r="C113" s="13">
        <f t="shared" si="19"/>
        <v>42597</v>
      </c>
      <c r="D113" s="14">
        <f t="shared" si="11"/>
        <v>42597</v>
      </c>
      <c r="E113" s="15">
        <f t="shared" si="12"/>
        <v>42597</v>
      </c>
      <c r="F113" s="18" t="s">
        <v>39</v>
      </c>
      <c r="H113" s="18" t="s">
        <v>35</v>
      </c>
      <c r="I113" s="3">
        <v>2016</v>
      </c>
      <c r="J113" s="13">
        <f t="shared" si="20"/>
        <v>42597</v>
      </c>
      <c r="K113" s="14">
        <f t="shared" si="13"/>
        <v>42597</v>
      </c>
      <c r="L113" s="15">
        <f t="shared" si="16"/>
        <v>42597</v>
      </c>
      <c r="M113" s="18" t="s">
        <v>39</v>
      </c>
    </row>
    <row r="114" spans="1:13" x14ac:dyDescent="0.25">
      <c r="A114" s="18" t="s">
        <v>35</v>
      </c>
      <c r="B114" s="3">
        <v>2017</v>
      </c>
      <c r="C114" s="13">
        <f t="shared" si="19"/>
        <v>42962</v>
      </c>
      <c r="D114" s="14">
        <f t="shared" si="11"/>
        <v>42962</v>
      </c>
      <c r="E114" s="15">
        <f t="shared" si="12"/>
        <v>42962</v>
      </c>
      <c r="F114" s="18" t="s">
        <v>39</v>
      </c>
      <c r="H114" s="18" t="s">
        <v>35</v>
      </c>
      <c r="I114" s="3">
        <v>2017</v>
      </c>
      <c r="J114" s="13">
        <f t="shared" si="20"/>
        <v>42962</v>
      </c>
      <c r="K114" s="14">
        <f t="shared" si="13"/>
        <v>42962</v>
      </c>
      <c r="L114" s="15">
        <f t="shared" si="16"/>
        <v>42962</v>
      </c>
      <c r="M114" s="18" t="s">
        <v>39</v>
      </c>
    </row>
    <row r="115" spans="1:13" x14ac:dyDescent="0.25">
      <c r="A115" s="18" t="s">
        <v>35</v>
      </c>
      <c r="B115" s="3">
        <v>2018</v>
      </c>
      <c r="C115" s="13">
        <f t="shared" si="19"/>
        <v>43327</v>
      </c>
      <c r="D115" s="14">
        <f t="shared" si="11"/>
        <v>43327</v>
      </c>
      <c r="E115" s="15">
        <f t="shared" si="12"/>
        <v>43327</v>
      </c>
      <c r="F115" s="18" t="s">
        <v>39</v>
      </c>
      <c r="H115" s="18" t="s">
        <v>35</v>
      </c>
      <c r="I115" s="3">
        <v>2018</v>
      </c>
      <c r="J115" s="13">
        <f t="shared" si="20"/>
        <v>43327</v>
      </c>
      <c r="K115" s="14">
        <f t="shared" si="13"/>
        <v>43327</v>
      </c>
      <c r="L115" s="15">
        <f t="shared" si="16"/>
        <v>43327</v>
      </c>
      <c r="M115" s="18" t="s">
        <v>39</v>
      </c>
    </row>
    <row r="116" spans="1:13" x14ac:dyDescent="0.25">
      <c r="A116" s="18" t="s">
        <v>35</v>
      </c>
      <c r="B116" s="3">
        <v>2019</v>
      </c>
      <c r="C116" s="13">
        <f t="shared" si="19"/>
        <v>43692</v>
      </c>
      <c r="D116" s="14">
        <f t="shared" si="11"/>
        <v>43692</v>
      </c>
      <c r="E116" s="15">
        <f t="shared" si="12"/>
        <v>43692</v>
      </c>
      <c r="F116" s="18" t="s">
        <v>39</v>
      </c>
      <c r="H116" s="18" t="s">
        <v>35</v>
      </c>
      <c r="I116" s="3">
        <v>2019</v>
      </c>
      <c r="J116" s="13">
        <f t="shared" si="20"/>
        <v>43692</v>
      </c>
      <c r="K116" s="14">
        <f t="shared" si="13"/>
        <v>43692</v>
      </c>
      <c r="L116" s="15">
        <f t="shared" si="16"/>
        <v>43692</v>
      </c>
      <c r="M116" s="18" t="s">
        <v>39</v>
      </c>
    </row>
    <row r="117" spans="1:13" x14ac:dyDescent="0.25">
      <c r="A117" s="18" t="s">
        <v>35</v>
      </c>
      <c r="B117" s="3">
        <v>2020</v>
      </c>
      <c r="C117" s="13">
        <f t="shared" si="19"/>
        <v>44058</v>
      </c>
      <c r="D117" s="14">
        <f t="shared" si="11"/>
        <v>44058</v>
      </c>
      <c r="E117" s="15">
        <f t="shared" si="12"/>
        <v>44058</v>
      </c>
      <c r="F117" s="18" t="s">
        <v>39</v>
      </c>
      <c r="H117" s="18" t="s">
        <v>35</v>
      </c>
      <c r="I117" s="3">
        <v>2020</v>
      </c>
      <c r="J117" s="13">
        <f t="shared" si="20"/>
        <v>44058</v>
      </c>
      <c r="K117" s="14">
        <f t="shared" si="13"/>
        <v>44058</v>
      </c>
      <c r="L117" s="15">
        <f t="shared" si="16"/>
        <v>44058</v>
      </c>
      <c r="M117" s="18" t="s">
        <v>39</v>
      </c>
    </row>
    <row r="118" spans="1:13" x14ac:dyDescent="0.25">
      <c r="A118" s="18" t="s">
        <v>35</v>
      </c>
      <c r="B118" s="3">
        <v>2021</v>
      </c>
      <c r="C118" s="13">
        <f t="shared" si="19"/>
        <v>44423</v>
      </c>
      <c r="D118" s="14">
        <f t="shared" si="11"/>
        <v>44423</v>
      </c>
      <c r="E118" s="15">
        <f t="shared" si="12"/>
        <v>44423</v>
      </c>
      <c r="F118" s="18" t="s">
        <v>39</v>
      </c>
      <c r="H118" s="18" t="s">
        <v>35</v>
      </c>
      <c r="I118" s="3">
        <v>2021</v>
      </c>
      <c r="J118" s="13">
        <f t="shared" si="20"/>
        <v>44423</v>
      </c>
      <c r="K118" s="14">
        <f t="shared" si="13"/>
        <v>44423</v>
      </c>
      <c r="L118" s="15">
        <f t="shared" si="16"/>
        <v>44423</v>
      </c>
      <c r="M118" s="18" t="s">
        <v>39</v>
      </c>
    </row>
    <row r="119" spans="1:13" x14ac:dyDescent="0.25">
      <c r="A119" s="18" t="s">
        <v>35</v>
      </c>
      <c r="B119" s="3">
        <v>2022</v>
      </c>
      <c r="C119" s="13">
        <f t="shared" si="19"/>
        <v>44788</v>
      </c>
      <c r="D119" s="14">
        <f t="shared" si="11"/>
        <v>44788</v>
      </c>
      <c r="E119" s="15">
        <f t="shared" si="12"/>
        <v>44788</v>
      </c>
      <c r="F119" s="18" t="s">
        <v>39</v>
      </c>
      <c r="H119" s="18" t="s">
        <v>35</v>
      </c>
      <c r="I119" s="3">
        <v>2022</v>
      </c>
      <c r="J119" s="13">
        <f t="shared" si="20"/>
        <v>44788</v>
      </c>
      <c r="K119" s="14">
        <f t="shared" si="13"/>
        <v>44788</v>
      </c>
      <c r="L119" s="15">
        <f t="shared" si="16"/>
        <v>44788</v>
      </c>
      <c r="M119" s="18" t="s">
        <v>39</v>
      </c>
    </row>
    <row r="120" spans="1:13" x14ac:dyDescent="0.25">
      <c r="A120" s="18" t="s">
        <v>35</v>
      </c>
      <c r="B120" s="3">
        <v>2023</v>
      </c>
      <c r="C120" s="13">
        <f t="shared" si="19"/>
        <v>45153</v>
      </c>
      <c r="D120" s="14">
        <f t="shared" si="11"/>
        <v>45153</v>
      </c>
      <c r="E120" s="15">
        <f t="shared" si="12"/>
        <v>45153</v>
      </c>
      <c r="F120" s="18" t="s">
        <v>39</v>
      </c>
      <c r="H120" s="18" t="s">
        <v>35</v>
      </c>
      <c r="I120" s="3">
        <v>2023</v>
      </c>
      <c r="J120" s="13">
        <f t="shared" si="20"/>
        <v>45153</v>
      </c>
      <c r="K120" s="14">
        <f t="shared" si="13"/>
        <v>45153</v>
      </c>
      <c r="L120" s="15">
        <f t="shared" si="16"/>
        <v>45153</v>
      </c>
      <c r="M120" s="18" t="s">
        <v>39</v>
      </c>
    </row>
    <row r="121" spans="1:13" x14ac:dyDescent="0.25">
      <c r="A121" s="18" t="s">
        <v>35</v>
      </c>
      <c r="B121" s="3">
        <v>2024</v>
      </c>
      <c r="C121" s="13">
        <f t="shared" si="19"/>
        <v>45519</v>
      </c>
      <c r="D121" s="14">
        <f t="shared" si="11"/>
        <v>45519</v>
      </c>
      <c r="E121" s="15">
        <f t="shared" si="12"/>
        <v>45519</v>
      </c>
      <c r="F121" s="18" t="s">
        <v>39</v>
      </c>
      <c r="H121" s="18" t="s">
        <v>35</v>
      </c>
      <c r="I121" s="3">
        <v>2024</v>
      </c>
      <c r="J121" s="13">
        <f t="shared" si="20"/>
        <v>45519</v>
      </c>
      <c r="K121" s="14">
        <f t="shared" si="13"/>
        <v>45519</v>
      </c>
      <c r="L121" s="15">
        <f t="shared" si="16"/>
        <v>45519</v>
      </c>
      <c r="M121" s="18" t="s">
        <v>39</v>
      </c>
    </row>
    <row r="122" spans="1:13" x14ac:dyDescent="0.25">
      <c r="A122" s="18" t="s">
        <v>35</v>
      </c>
      <c r="B122" s="3">
        <v>2025</v>
      </c>
      <c r="C122" s="13">
        <f t="shared" si="19"/>
        <v>45884</v>
      </c>
      <c r="D122" s="14">
        <f t="shared" si="11"/>
        <v>45884</v>
      </c>
      <c r="E122" s="15">
        <f t="shared" si="12"/>
        <v>45884</v>
      </c>
      <c r="F122" s="18" t="s">
        <v>39</v>
      </c>
      <c r="H122" s="18" t="s">
        <v>35</v>
      </c>
      <c r="I122" s="3">
        <v>2025</v>
      </c>
      <c r="J122" s="13">
        <f t="shared" si="20"/>
        <v>45884</v>
      </c>
      <c r="K122" s="14">
        <f t="shared" si="13"/>
        <v>45884</v>
      </c>
      <c r="L122" s="15">
        <f t="shared" si="16"/>
        <v>45884</v>
      </c>
      <c r="M122" s="18" t="s">
        <v>39</v>
      </c>
    </row>
    <row r="123" spans="1:13" x14ac:dyDescent="0.25">
      <c r="A123" s="18" t="s">
        <v>35</v>
      </c>
      <c r="B123" s="3">
        <v>2026</v>
      </c>
      <c r="C123" s="13">
        <f t="shared" si="19"/>
        <v>46249</v>
      </c>
      <c r="D123" s="14">
        <f t="shared" si="11"/>
        <v>46249</v>
      </c>
      <c r="E123" s="15">
        <f t="shared" si="12"/>
        <v>46249</v>
      </c>
      <c r="F123" s="18" t="s">
        <v>39</v>
      </c>
      <c r="H123" s="18" t="s">
        <v>35</v>
      </c>
      <c r="I123" s="3">
        <v>2026</v>
      </c>
      <c r="J123" s="13">
        <f t="shared" si="20"/>
        <v>46249</v>
      </c>
      <c r="K123" s="14">
        <f t="shared" si="13"/>
        <v>46249</v>
      </c>
      <c r="L123" s="15">
        <f t="shared" si="16"/>
        <v>46249</v>
      </c>
      <c r="M123" s="18" t="s">
        <v>39</v>
      </c>
    </row>
    <row r="124" spans="1:13" x14ac:dyDescent="0.25">
      <c r="A124" s="18" t="s">
        <v>35</v>
      </c>
      <c r="B124" s="3">
        <v>2027</v>
      </c>
      <c r="C124" s="13">
        <f t="shared" si="19"/>
        <v>46614</v>
      </c>
      <c r="D124" s="14">
        <f t="shared" si="11"/>
        <v>46614</v>
      </c>
      <c r="E124" s="15">
        <f t="shared" si="12"/>
        <v>46614</v>
      </c>
      <c r="F124" s="18" t="s">
        <v>39</v>
      </c>
      <c r="H124" s="18" t="s">
        <v>35</v>
      </c>
      <c r="I124" s="3">
        <v>2027</v>
      </c>
      <c r="J124" s="13">
        <f t="shared" si="20"/>
        <v>46614</v>
      </c>
      <c r="K124" s="14">
        <f t="shared" si="13"/>
        <v>46614</v>
      </c>
      <c r="L124" s="15">
        <f t="shared" si="16"/>
        <v>46614</v>
      </c>
      <c r="M124" s="18" t="s">
        <v>39</v>
      </c>
    </row>
    <row r="125" spans="1:13" x14ac:dyDescent="0.25">
      <c r="A125" s="18" t="s">
        <v>35</v>
      </c>
      <c r="B125" s="3">
        <v>2028</v>
      </c>
      <c r="C125" s="13">
        <f t="shared" si="19"/>
        <v>46980</v>
      </c>
      <c r="D125" s="14">
        <f t="shared" si="11"/>
        <v>46980</v>
      </c>
      <c r="E125" s="15">
        <f t="shared" si="12"/>
        <v>46980</v>
      </c>
      <c r="F125" s="18" t="s">
        <v>39</v>
      </c>
      <c r="H125" s="18" t="s">
        <v>35</v>
      </c>
      <c r="I125" s="3">
        <v>2028</v>
      </c>
      <c r="J125" s="13">
        <f t="shared" si="20"/>
        <v>46980</v>
      </c>
      <c r="K125" s="14">
        <f t="shared" si="13"/>
        <v>46980</v>
      </c>
      <c r="L125" s="15">
        <f t="shared" si="16"/>
        <v>46980</v>
      </c>
      <c r="M125" s="18" t="s">
        <v>39</v>
      </c>
    </row>
    <row r="126" spans="1:13" x14ac:dyDescent="0.25">
      <c r="A126" s="18" t="s">
        <v>35</v>
      </c>
      <c r="B126" s="3">
        <v>2029</v>
      </c>
      <c r="C126" s="13">
        <f t="shared" si="19"/>
        <v>47345</v>
      </c>
      <c r="D126" s="14">
        <f t="shared" si="11"/>
        <v>47345</v>
      </c>
      <c r="E126" s="15">
        <f t="shared" si="12"/>
        <v>47345</v>
      </c>
      <c r="F126" s="18" t="s">
        <v>39</v>
      </c>
      <c r="H126" s="18" t="s">
        <v>35</v>
      </c>
      <c r="I126" s="3">
        <v>2029</v>
      </c>
      <c r="J126" s="13">
        <f t="shared" si="20"/>
        <v>47345</v>
      </c>
      <c r="K126" s="14">
        <f t="shared" si="13"/>
        <v>47345</v>
      </c>
      <c r="L126" s="15">
        <f t="shared" si="16"/>
        <v>47345</v>
      </c>
      <c r="M126" s="18" t="s">
        <v>39</v>
      </c>
    </row>
    <row r="127" spans="1:13" x14ac:dyDescent="0.25">
      <c r="A127" s="18" t="s">
        <v>35</v>
      </c>
      <c r="B127" s="3">
        <v>2030</v>
      </c>
      <c r="C127" s="13">
        <f t="shared" si="19"/>
        <v>47710</v>
      </c>
      <c r="D127" s="14">
        <f t="shared" si="11"/>
        <v>47710</v>
      </c>
      <c r="E127" s="15">
        <f t="shared" si="12"/>
        <v>47710</v>
      </c>
      <c r="F127" s="18" t="s">
        <v>39</v>
      </c>
      <c r="H127" s="18" t="s">
        <v>35</v>
      </c>
      <c r="I127" s="3">
        <v>2030</v>
      </c>
      <c r="J127" s="13">
        <f t="shared" si="20"/>
        <v>47710</v>
      </c>
      <c r="K127" s="14">
        <f t="shared" si="13"/>
        <v>47710</v>
      </c>
      <c r="L127" s="15">
        <f t="shared" si="16"/>
        <v>47710</v>
      </c>
      <c r="M127" s="18" t="s">
        <v>39</v>
      </c>
    </row>
    <row r="128" spans="1:13" x14ac:dyDescent="0.25">
      <c r="A128" s="18" t="s">
        <v>25</v>
      </c>
      <c r="B128" s="3">
        <v>2013</v>
      </c>
      <c r="C128" s="13">
        <f t="shared" ref="C128:C145" si="21">CONCATENATE("01/11/",$B2)*1</f>
        <v>41579</v>
      </c>
      <c r="D128" s="14">
        <f t="shared" si="11"/>
        <v>41579</v>
      </c>
      <c r="E128" s="15">
        <f t="shared" si="12"/>
        <v>41579</v>
      </c>
      <c r="F128" s="18" t="s">
        <v>39</v>
      </c>
      <c r="H128" s="18" t="s">
        <v>25</v>
      </c>
      <c r="I128" s="3">
        <v>2013</v>
      </c>
      <c r="J128" s="13">
        <f t="shared" ref="J128:J145" si="22">CONCATENATE("01/11/",$B2)*1</f>
        <v>41579</v>
      </c>
      <c r="K128" s="14">
        <f t="shared" si="13"/>
        <v>41579</v>
      </c>
      <c r="L128" s="15">
        <f t="shared" si="16"/>
        <v>41579</v>
      </c>
      <c r="M128" s="18" t="s">
        <v>39</v>
      </c>
    </row>
    <row r="129" spans="1:13" x14ac:dyDescent="0.25">
      <c r="A129" s="18" t="s">
        <v>25</v>
      </c>
      <c r="B129" s="3">
        <v>2014</v>
      </c>
      <c r="C129" s="13">
        <f t="shared" si="21"/>
        <v>41944</v>
      </c>
      <c r="D129" s="14">
        <f t="shared" si="11"/>
        <v>41944</v>
      </c>
      <c r="E129" s="15">
        <f t="shared" si="12"/>
        <v>41944</v>
      </c>
      <c r="F129" s="18" t="s">
        <v>39</v>
      </c>
      <c r="H129" s="18" t="s">
        <v>25</v>
      </c>
      <c r="I129" s="3">
        <v>2014</v>
      </c>
      <c r="J129" s="13">
        <f t="shared" si="22"/>
        <v>41944</v>
      </c>
      <c r="K129" s="14">
        <f t="shared" si="13"/>
        <v>41944</v>
      </c>
      <c r="L129" s="15">
        <f t="shared" si="16"/>
        <v>41944</v>
      </c>
      <c r="M129" s="18" t="s">
        <v>39</v>
      </c>
    </row>
    <row r="130" spans="1:13" x14ac:dyDescent="0.25">
      <c r="A130" s="18" t="s">
        <v>25</v>
      </c>
      <c r="B130" s="3">
        <v>2015</v>
      </c>
      <c r="C130" s="13">
        <f t="shared" si="21"/>
        <v>42309</v>
      </c>
      <c r="D130" s="14">
        <f t="shared" si="11"/>
        <v>42309</v>
      </c>
      <c r="E130" s="15">
        <f t="shared" si="12"/>
        <v>42309</v>
      </c>
      <c r="F130" s="18" t="s">
        <v>39</v>
      </c>
      <c r="H130" s="18" t="s">
        <v>25</v>
      </c>
      <c r="I130" s="3">
        <v>2015</v>
      </c>
      <c r="J130" s="13">
        <f t="shared" si="22"/>
        <v>42309</v>
      </c>
      <c r="K130" s="14">
        <f t="shared" si="13"/>
        <v>42309</v>
      </c>
      <c r="L130" s="15">
        <f t="shared" si="16"/>
        <v>42309</v>
      </c>
      <c r="M130" s="18" t="s">
        <v>39</v>
      </c>
    </row>
    <row r="131" spans="1:13" x14ac:dyDescent="0.25">
      <c r="A131" s="18" t="s">
        <v>25</v>
      </c>
      <c r="B131" s="3">
        <v>2016</v>
      </c>
      <c r="C131" s="13">
        <f t="shared" si="21"/>
        <v>42675</v>
      </c>
      <c r="D131" s="14">
        <f t="shared" ref="D131:D194" si="23">C131</f>
        <v>42675</v>
      </c>
      <c r="E131" s="15">
        <f t="shared" ref="E131:E194" si="24">C131</f>
        <v>42675</v>
      </c>
      <c r="F131" s="18" t="s">
        <v>39</v>
      </c>
      <c r="H131" s="18" t="s">
        <v>25</v>
      </c>
      <c r="I131" s="3">
        <v>2016</v>
      </c>
      <c r="J131" s="13">
        <f t="shared" si="22"/>
        <v>42675</v>
      </c>
      <c r="K131" s="14">
        <f t="shared" ref="K131:K194" si="25">J131</f>
        <v>42675</v>
      </c>
      <c r="L131" s="15">
        <f t="shared" si="16"/>
        <v>42675</v>
      </c>
      <c r="M131" s="18" t="s">
        <v>39</v>
      </c>
    </row>
    <row r="132" spans="1:13" x14ac:dyDescent="0.25">
      <c r="A132" s="18" t="s">
        <v>25</v>
      </c>
      <c r="B132" s="3">
        <v>2017</v>
      </c>
      <c r="C132" s="13">
        <f t="shared" si="21"/>
        <v>43040</v>
      </c>
      <c r="D132" s="14">
        <f t="shared" si="23"/>
        <v>43040</v>
      </c>
      <c r="E132" s="15">
        <f t="shared" si="24"/>
        <v>43040</v>
      </c>
      <c r="F132" s="18" t="s">
        <v>39</v>
      </c>
      <c r="H132" s="18" t="s">
        <v>25</v>
      </c>
      <c r="I132" s="3">
        <v>2017</v>
      </c>
      <c r="J132" s="13">
        <f t="shared" si="22"/>
        <v>43040</v>
      </c>
      <c r="K132" s="14">
        <f t="shared" si="25"/>
        <v>43040</v>
      </c>
      <c r="L132" s="15">
        <f t="shared" si="16"/>
        <v>43040</v>
      </c>
      <c r="M132" s="18" t="s">
        <v>39</v>
      </c>
    </row>
    <row r="133" spans="1:13" x14ac:dyDescent="0.25">
      <c r="A133" s="18" t="s">
        <v>25</v>
      </c>
      <c r="B133" s="3">
        <v>2018</v>
      </c>
      <c r="C133" s="13">
        <f t="shared" si="21"/>
        <v>43405</v>
      </c>
      <c r="D133" s="14">
        <f t="shared" si="23"/>
        <v>43405</v>
      </c>
      <c r="E133" s="15">
        <f t="shared" si="24"/>
        <v>43405</v>
      </c>
      <c r="F133" s="18" t="s">
        <v>39</v>
      </c>
      <c r="H133" s="18" t="s">
        <v>25</v>
      </c>
      <c r="I133" s="3">
        <v>2018</v>
      </c>
      <c r="J133" s="13">
        <f t="shared" si="22"/>
        <v>43405</v>
      </c>
      <c r="K133" s="14">
        <f t="shared" si="25"/>
        <v>43405</v>
      </c>
      <c r="L133" s="15">
        <f t="shared" si="16"/>
        <v>43405</v>
      </c>
      <c r="M133" s="18" t="s">
        <v>39</v>
      </c>
    </row>
    <row r="134" spans="1:13" x14ac:dyDescent="0.25">
      <c r="A134" s="18" t="s">
        <v>25</v>
      </c>
      <c r="B134" s="3">
        <v>2019</v>
      </c>
      <c r="C134" s="13">
        <f t="shared" si="21"/>
        <v>43770</v>
      </c>
      <c r="D134" s="14">
        <f t="shared" si="23"/>
        <v>43770</v>
      </c>
      <c r="E134" s="15">
        <f t="shared" si="24"/>
        <v>43770</v>
      </c>
      <c r="F134" s="18" t="s">
        <v>39</v>
      </c>
      <c r="H134" s="18" t="s">
        <v>25</v>
      </c>
      <c r="I134" s="3">
        <v>2019</v>
      </c>
      <c r="J134" s="13">
        <f t="shared" si="22"/>
        <v>43770</v>
      </c>
      <c r="K134" s="14">
        <f t="shared" si="25"/>
        <v>43770</v>
      </c>
      <c r="L134" s="15">
        <f t="shared" si="16"/>
        <v>43770</v>
      </c>
      <c r="M134" s="18" t="s">
        <v>39</v>
      </c>
    </row>
    <row r="135" spans="1:13" x14ac:dyDescent="0.25">
      <c r="A135" s="18" t="s">
        <v>25</v>
      </c>
      <c r="B135" s="3">
        <v>2020</v>
      </c>
      <c r="C135" s="13">
        <f t="shared" si="21"/>
        <v>44136</v>
      </c>
      <c r="D135" s="14">
        <f t="shared" si="23"/>
        <v>44136</v>
      </c>
      <c r="E135" s="15">
        <f t="shared" si="24"/>
        <v>44136</v>
      </c>
      <c r="F135" s="18" t="s">
        <v>39</v>
      </c>
      <c r="H135" s="18" t="s">
        <v>25</v>
      </c>
      <c r="I135" s="3">
        <v>2020</v>
      </c>
      <c r="J135" s="13">
        <f t="shared" si="22"/>
        <v>44136</v>
      </c>
      <c r="K135" s="14">
        <f t="shared" si="25"/>
        <v>44136</v>
      </c>
      <c r="L135" s="15">
        <f t="shared" si="16"/>
        <v>44136</v>
      </c>
      <c r="M135" s="18" t="s">
        <v>39</v>
      </c>
    </row>
    <row r="136" spans="1:13" x14ac:dyDescent="0.25">
      <c r="A136" s="18" t="s">
        <v>25</v>
      </c>
      <c r="B136" s="3">
        <v>2021</v>
      </c>
      <c r="C136" s="13">
        <f t="shared" si="21"/>
        <v>44501</v>
      </c>
      <c r="D136" s="14">
        <f t="shared" si="23"/>
        <v>44501</v>
      </c>
      <c r="E136" s="15">
        <f t="shared" si="24"/>
        <v>44501</v>
      </c>
      <c r="F136" s="18" t="s">
        <v>39</v>
      </c>
      <c r="H136" s="18" t="s">
        <v>25</v>
      </c>
      <c r="I136" s="3">
        <v>2021</v>
      </c>
      <c r="J136" s="13">
        <f t="shared" si="22"/>
        <v>44501</v>
      </c>
      <c r="K136" s="14">
        <f t="shared" si="25"/>
        <v>44501</v>
      </c>
      <c r="L136" s="15">
        <f t="shared" si="16"/>
        <v>44501</v>
      </c>
      <c r="M136" s="18" t="s">
        <v>39</v>
      </c>
    </row>
    <row r="137" spans="1:13" x14ac:dyDescent="0.25">
      <c r="A137" s="18" t="s">
        <v>25</v>
      </c>
      <c r="B137" s="3">
        <v>2022</v>
      </c>
      <c r="C137" s="13">
        <f t="shared" si="21"/>
        <v>44866</v>
      </c>
      <c r="D137" s="14">
        <f t="shared" si="23"/>
        <v>44866</v>
      </c>
      <c r="E137" s="15">
        <f t="shared" si="24"/>
        <v>44866</v>
      </c>
      <c r="F137" s="18" t="s">
        <v>39</v>
      </c>
      <c r="H137" s="18" t="s">
        <v>25</v>
      </c>
      <c r="I137" s="3">
        <v>2022</v>
      </c>
      <c r="J137" s="13">
        <f t="shared" si="22"/>
        <v>44866</v>
      </c>
      <c r="K137" s="14">
        <f t="shared" si="25"/>
        <v>44866</v>
      </c>
      <c r="L137" s="15">
        <f t="shared" si="16"/>
        <v>44866</v>
      </c>
      <c r="M137" s="18" t="s">
        <v>39</v>
      </c>
    </row>
    <row r="138" spans="1:13" x14ac:dyDescent="0.25">
      <c r="A138" s="18" t="s">
        <v>25</v>
      </c>
      <c r="B138" s="3">
        <v>2023</v>
      </c>
      <c r="C138" s="13">
        <f t="shared" si="21"/>
        <v>45231</v>
      </c>
      <c r="D138" s="14">
        <f t="shared" si="23"/>
        <v>45231</v>
      </c>
      <c r="E138" s="15">
        <f t="shared" si="24"/>
        <v>45231</v>
      </c>
      <c r="F138" s="18" t="s">
        <v>39</v>
      </c>
      <c r="H138" s="18" t="s">
        <v>25</v>
      </c>
      <c r="I138" s="3">
        <v>2023</v>
      </c>
      <c r="J138" s="13">
        <f t="shared" si="22"/>
        <v>45231</v>
      </c>
      <c r="K138" s="14">
        <f t="shared" si="25"/>
        <v>45231</v>
      </c>
      <c r="L138" s="15">
        <f t="shared" si="16"/>
        <v>45231</v>
      </c>
      <c r="M138" s="18" t="s">
        <v>39</v>
      </c>
    </row>
    <row r="139" spans="1:13" x14ac:dyDescent="0.25">
      <c r="A139" s="18" t="s">
        <v>25</v>
      </c>
      <c r="B139" s="3">
        <v>2024</v>
      </c>
      <c r="C139" s="13">
        <f t="shared" si="21"/>
        <v>45597</v>
      </c>
      <c r="D139" s="14">
        <f t="shared" si="23"/>
        <v>45597</v>
      </c>
      <c r="E139" s="15">
        <f t="shared" si="24"/>
        <v>45597</v>
      </c>
      <c r="F139" s="18" t="s">
        <v>39</v>
      </c>
      <c r="H139" s="18" t="s">
        <v>25</v>
      </c>
      <c r="I139" s="3">
        <v>2024</v>
      </c>
      <c r="J139" s="13">
        <f t="shared" si="22"/>
        <v>45597</v>
      </c>
      <c r="K139" s="14">
        <f t="shared" si="25"/>
        <v>45597</v>
      </c>
      <c r="L139" s="15">
        <f t="shared" si="16"/>
        <v>45597</v>
      </c>
      <c r="M139" s="18" t="s">
        <v>39</v>
      </c>
    </row>
    <row r="140" spans="1:13" x14ac:dyDescent="0.25">
      <c r="A140" s="18" t="s">
        <v>25</v>
      </c>
      <c r="B140" s="3">
        <v>2025</v>
      </c>
      <c r="C140" s="13">
        <f t="shared" si="21"/>
        <v>45962</v>
      </c>
      <c r="D140" s="14">
        <f t="shared" si="23"/>
        <v>45962</v>
      </c>
      <c r="E140" s="15">
        <f t="shared" si="24"/>
        <v>45962</v>
      </c>
      <c r="F140" s="18" t="s">
        <v>39</v>
      </c>
      <c r="H140" s="18" t="s">
        <v>25</v>
      </c>
      <c r="I140" s="3">
        <v>2025</v>
      </c>
      <c r="J140" s="13">
        <f t="shared" si="22"/>
        <v>45962</v>
      </c>
      <c r="K140" s="14">
        <f t="shared" si="25"/>
        <v>45962</v>
      </c>
      <c r="L140" s="15">
        <f t="shared" si="16"/>
        <v>45962</v>
      </c>
      <c r="M140" s="18" t="s">
        <v>39</v>
      </c>
    </row>
    <row r="141" spans="1:13" x14ac:dyDescent="0.25">
      <c r="A141" s="18" t="s">
        <v>25</v>
      </c>
      <c r="B141" s="3">
        <v>2026</v>
      </c>
      <c r="C141" s="13">
        <f t="shared" si="21"/>
        <v>46327</v>
      </c>
      <c r="D141" s="14">
        <f t="shared" si="23"/>
        <v>46327</v>
      </c>
      <c r="E141" s="15">
        <f t="shared" si="24"/>
        <v>46327</v>
      </c>
      <c r="F141" s="18" t="s">
        <v>39</v>
      </c>
      <c r="H141" s="18" t="s">
        <v>25</v>
      </c>
      <c r="I141" s="3">
        <v>2026</v>
      </c>
      <c r="J141" s="13">
        <f t="shared" si="22"/>
        <v>46327</v>
      </c>
      <c r="K141" s="14">
        <f t="shared" si="25"/>
        <v>46327</v>
      </c>
      <c r="L141" s="15">
        <f t="shared" si="16"/>
        <v>46327</v>
      </c>
      <c r="M141" s="18" t="s">
        <v>39</v>
      </c>
    </row>
    <row r="142" spans="1:13" x14ac:dyDescent="0.25">
      <c r="A142" s="18" t="s">
        <v>25</v>
      </c>
      <c r="B142" s="3">
        <v>2027</v>
      </c>
      <c r="C142" s="13">
        <f t="shared" si="21"/>
        <v>46692</v>
      </c>
      <c r="D142" s="14">
        <f t="shared" si="23"/>
        <v>46692</v>
      </c>
      <c r="E142" s="15">
        <f t="shared" si="24"/>
        <v>46692</v>
      </c>
      <c r="F142" s="18" t="s">
        <v>39</v>
      </c>
      <c r="H142" s="18" t="s">
        <v>25</v>
      </c>
      <c r="I142" s="3">
        <v>2027</v>
      </c>
      <c r="J142" s="13">
        <f t="shared" si="22"/>
        <v>46692</v>
      </c>
      <c r="K142" s="14">
        <f t="shared" si="25"/>
        <v>46692</v>
      </c>
      <c r="L142" s="15">
        <f t="shared" si="16"/>
        <v>46692</v>
      </c>
      <c r="M142" s="18" t="s">
        <v>39</v>
      </c>
    </row>
    <row r="143" spans="1:13" x14ac:dyDescent="0.25">
      <c r="A143" s="18" t="s">
        <v>25</v>
      </c>
      <c r="B143" s="3">
        <v>2028</v>
      </c>
      <c r="C143" s="13">
        <f t="shared" si="21"/>
        <v>47058</v>
      </c>
      <c r="D143" s="14">
        <f t="shared" si="23"/>
        <v>47058</v>
      </c>
      <c r="E143" s="15">
        <f t="shared" si="24"/>
        <v>47058</v>
      </c>
      <c r="F143" s="18" t="s">
        <v>39</v>
      </c>
      <c r="H143" s="18" t="s">
        <v>25</v>
      </c>
      <c r="I143" s="3">
        <v>2028</v>
      </c>
      <c r="J143" s="13">
        <f t="shared" si="22"/>
        <v>47058</v>
      </c>
      <c r="K143" s="14">
        <f t="shared" si="25"/>
        <v>47058</v>
      </c>
      <c r="L143" s="15">
        <f t="shared" si="16"/>
        <v>47058</v>
      </c>
      <c r="M143" s="18" t="s">
        <v>39</v>
      </c>
    </row>
    <row r="144" spans="1:13" x14ac:dyDescent="0.25">
      <c r="A144" s="18" t="s">
        <v>25</v>
      </c>
      <c r="B144" s="3">
        <v>2029</v>
      </c>
      <c r="C144" s="13">
        <f t="shared" si="21"/>
        <v>47423</v>
      </c>
      <c r="D144" s="14">
        <f t="shared" si="23"/>
        <v>47423</v>
      </c>
      <c r="E144" s="15">
        <f t="shared" si="24"/>
        <v>47423</v>
      </c>
      <c r="F144" s="18" t="s">
        <v>39</v>
      </c>
      <c r="H144" s="18" t="s">
        <v>25</v>
      </c>
      <c r="I144" s="3">
        <v>2029</v>
      </c>
      <c r="J144" s="13">
        <f t="shared" si="22"/>
        <v>47423</v>
      </c>
      <c r="K144" s="14">
        <f t="shared" si="25"/>
        <v>47423</v>
      </c>
      <c r="L144" s="15">
        <f t="shared" si="16"/>
        <v>47423</v>
      </c>
      <c r="M144" s="18" t="s">
        <v>39</v>
      </c>
    </row>
    <row r="145" spans="1:13" x14ac:dyDescent="0.25">
      <c r="A145" s="18" t="s">
        <v>25</v>
      </c>
      <c r="B145" s="3">
        <v>2030</v>
      </c>
      <c r="C145" s="13">
        <f t="shared" si="21"/>
        <v>47788</v>
      </c>
      <c r="D145" s="14">
        <f t="shared" si="23"/>
        <v>47788</v>
      </c>
      <c r="E145" s="15">
        <f t="shared" si="24"/>
        <v>47788</v>
      </c>
      <c r="F145" s="18" t="s">
        <v>39</v>
      </c>
      <c r="H145" s="18" t="s">
        <v>25</v>
      </c>
      <c r="I145" s="3">
        <v>2030</v>
      </c>
      <c r="J145" s="13">
        <f t="shared" si="22"/>
        <v>47788</v>
      </c>
      <c r="K145" s="14">
        <f t="shared" si="25"/>
        <v>47788</v>
      </c>
      <c r="L145" s="15">
        <f t="shared" si="16"/>
        <v>47788</v>
      </c>
      <c r="M145" s="18" t="s">
        <v>39</v>
      </c>
    </row>
    <row r="146" spans="1:13" x14ac:dyDescent="0.25">
      <c r="A146" s="18" t="s">
        <v>36</v>
      </c>
      <c r="B146" s="3">
        <v>2013</v>
      </c>
      <c r="C146" s="13">
        <f>CONCATENATE("08/12/",$B20)*1</f>
        <v>41616</v>
      </c>
      <c r="D146" s="14">
        <f t="shared" si="23"/>
        <v>41616</v>
      </c>
      <c r="E146" s="15">
        <f t="shared" si="24"/>
        <v>41616</v>
      </c>
      <c r="F146" s="18" t="s">
        <v>39</v>
      </c>
      <c r="H146" s="18" t="s">
        <v>36</v>
      </c>
      <c r="I146" s="3">
        <v>2013</v>
      </c>
      <c r="J146" s="13">
        <f>CONCATENATE("08/12/",$B20)*1</f>
        <v>41616</v>
      </c>
      <c r="K146" s="14">
        <f t="shared" si="25"/>
        <v>41616</v>
      </c>
      <c r="L146" s="15">
        <f t="shared" si="16"/>
        <v>41616</v>
      </c>
      <c r="M146" s="18" t="s">
        <v>39</v>
      </c>
    </row>
    <row r="147" spans="1:13" x14ac:dyDescent="0.25">
      <c r="A147" s="18" t="s">
        <v>36</v>
      </c>
      <c r="B147" s="3">
        <v>2014</v>
      </c>
      <c r="C147" s="13">
        <f t="shared" ref="C147:C163" si="26">CONCATENATE("08/12/",$B21)*1</f>
        <v>41981</v>
      </c>
      <c r="D147" s="14">
        <f t="shared" si="23"/>
        <v>41981</v>
      </c>
      <c r="E147" s="15">
        <f t="shared" si="24"/>
        <v>41981</v>
      </c>
      <c r="F147" s="18" t="s">
        <v>39</v>
      </c>
      <c r="H147" s="18" t="s">
        <v>36</v>
      </c>
      <c r="I147" s="3">
        <v>2014</v>
      </c>
      <c r="J147" s="13">
        <f t="shared" ref="J147:J163" si="27">CONCATENATE("08/12/",$B21)*1</f>
        <v>41981</v>
      </c>
      <c r="K147" s="14">
        <f t="shared" si="25"/>
        <v>41981</v>
      </c>
      <c r="L147" s="15">
        <f t="shared" si="16"/>
        <v>41981</v>
      </c>
      <c r="M147" s="18" t="s">
        <v>39</v>
      </c>
    </row>
    <row r="148" spans="1:13" x14ac:dyDescent="0.25">
      <c r="A148" s="18" t="s">
        <v>36</v>
      </c>
      <c r="B148" s="3">
        <v>2015</v>
      </c>
      <c r="C148" s="13">
        <f t="shared" si="26"/>
        <v>42346</v>
      </c>
      <c r="D148" s="14">
        <f t="shared" si="23"/>
        <v>42346</v>
      </c>
      <c r="E148" s="15">
        <f t="shared" si="24"/>
        <v>42346</v>
      </c>
      <c r="F148" s="18" t="s">
        <v>39</v>
      </c>
      <c r="H148" s="18" t="s">
        <v>36</v>
      </c>
      <c r="I148" s="3">
        <v>2015</v>
      </c>
      <c r="J148" s="13">
        <f t="shared" si="27"/>
        <v>42346</v>
      </c>
      <c r="K148" s="14">
        <f t="shared" si="25"/>
        <v>42346</v>
      </c>
      <c r="L148" s="15">
        <f t="shared" si="16"/>
        <v>42346</v>
      </c>
      <c r="M148" s="18" t="s">
        <v>39</v>
      </c>
    </row>
    <row r="149" spans="1:13" x14ac:dyDescent="0.25">
      <c r="A149" s="18" t="s">
        <v>36</v>
      </c>
      <c r="B149" s="3">
        <v>2016</v>
      </c>
      <c r="C149" s="13">
        <f t="shared" si="26"/>
        <v>42712</v>
      </c>
      <c r="D149" s="14">
        <f t="shared" si="23"/>
        <v>42712</v>
      </c>
      <c r="E149" s="15">
        <f t="shared" si="24"/>
        <v>42712</v>
      </c>
      <c r="F149" s="18" t="s">
        <v>39</v>
      </c>
      <c r="H149" s="18" t="s">
        <v>36</v>
      </c>
      <c r="I149" s="3">
        <v>2016</v>
      </c>
      <c r="J149" s="13">
        <f t="shared" si="27"/>
        <v>42712</v>
      </c>
      <c r="K149" s="14">
        <f t="shared" si="25"/>
        <v>42712</v>
      </c>
      <c r="L149" s="15">
        <f t="shared" ref="L149:L198" si="28">J149</f>
        <v>42712</v>
      </c>
      <c r="M149" s="18" t="s">
        <v>39</v>
      </c>
    </row>
    <row r="150" spans="1:13" x14ac:dyDescent="0.25">
      <c r="A150" s="18" t="s">
        <v>36</v>
      </c>
      <c r="B150" s="3">
        <v>2017</v>
      </c>
      <c r="C150" s="13">
        <f t="shared" si="26"/>
        <v>43077</v>
      </c>
      <c r="D150" s="14">
        <f t="shared" si="23"/>
        <v>43077</v>
      </c>
      <c r="E150" s="15">
        <f t="shared" si="24"/>
        <v>43077</v>
      </c>
      <c r="F150" s="18" t="s">
        <v>39</v>
      </c>
      <c r="H150" s="18" t="s">
        <v>36</v>
      </c>
      <c r="I150" s="3">
        <v>2017</v>
      </c>
      <c r="J150" s="13">
        <f t="shared" si="27"/>
        <v>43077</v>
      </c>
      <c r="K150" s="14">
        <f t="shared" si="25"/>
        <v>43077</v>
      </c>
      <c r="L150" s="15">
        <f t="shared" si="28"/>
        <v>43077</v>
      </c>
      <c r="M150" s="18" t="s">
        <v>39</v>
      </c>
    </row>
    <row r="151" spans="1:13" x14ac:dyDescent="0.25">
      <c r="A151" s="18" t="s">
        <v>36</v>
      </c>
      <c r="B151" s="3">
        <v>2018</v>
      </c>
      <c r="C151" s="13">
        <f t="shared" si="26"/>
        <v>43442</v>
      </c>
      <c r="D151" s="14">
        <f t="shared" si="23"/>
        <v>43442</v>
      </c>
      <c r="E151" s="15">
        <f t="shared" si="24"/>
        <v>43442</v>
      </c>
      <c r="F151" s="18" t="s">
        <v>39</v>
      </c>
      <c r="H151" s="18" t="s">
        <v>36</v>
      </c>
      <c r="I151" s="3">
        <v>2018</v>
      </c>
      <c r="J151" s="13">
        <f t="shared" si="27"/>
        <v>43442</v>
      </c>
      <c r="K151" s="14">
        <f t="shared" si="25"/>
        <v>43442</v>
      </c>
      <c r="L151" s="15">
        <f t="shared" si="28"/>
        <v>43442</v>
      </c>
      <c r="M151" s="18" t="s">
        <v>39</v>
      </c>
    </row>
    <row r="152" spans="1:13" x14ac:dyDescent="0.25">
      <c r="A152" s="18" t="s">
        <v>36</v>
      </c>
      <c r="B152" s="3">
        <v>2019</v>
      </c>
      <c r="C152" s="13">
        <f t="shared" si="26"/>
        <v>43807</v>
      </c>
      <c r="D152" s="14">
        <f t="shared" si="23"/>
        <v>43807</v>
      </c>
      <c r="E152" s="15">
        <f t="shared" si="24"/>
        <v>43807</v>
      </c>
      <c r="F152" s="18" t="s">
        <v>39</v>
      </c>
      <c r="H152" s="18" t="s">
        <v>36</v>
      </c>
      <c r="I152" s="3">
        <v>2019</v>
      </c>
      <c r="J152" s="13">
        <f t="shared" si="27"/>
        <v>43807</v>
      </c>
      <c r="K152" s="14">
        <f t="shared" si="25"/>
        <v>43807</v>
      </c>
      <c r="L152" s="15">
        <f t="shared" si="28"/>
        <v>43807</v>
      </c>
      <c r="M152" s="18" t="s">
        <v>39</v>
      </c>
    </row>
    <row r="153" spans="1:13" x14ac:dyDescent="0.25">
      <c r="A153" s="18" t="s">
        <v>36</v>
      </c>
      <c r="B153" s="3">
        <v>2020</v>
      </c>
      <c r="C153" s="13">
        <f t="shared" si="26"/>
        <v>44173</v>
      </c>
      <c r="D153" s="14">
        <f t="shared" si="23"/>
        <v>44173</v>
      </c>
      <c r="E153" s="15">
        <f t="shared" si="24"/>
        <v>44173</v>
      </c>
      <c r="F153" s="18" t="s">
        <v>39</v>
      </c>
      <c r="H153" s="18" t="s">
        <v>36</v>
      </c>
      <c r="I153" s="3">
        <v>2020</v>
      </c>
      <c r="J153" s="13">
        <f t="shared" si="27"/>
        <v>44173</v>
      </c>
      <c r="K153" s="14">
        <f t="shared" si="25"/>
        <v>44173</v>
      </c>
      <c r="L153" s="15">
        <f t="shared" si="28"/>
        <v>44173</v>
      </c>
      <c r="M153" s="18" t="s">
        <v>39</v>
      </c>
    </row>
    <row r="154" spans="1:13" x14ac:dyDescent="0.25">
      <c r="A154" s="18" t="s">
        <v>36</v>
      </c>
      <c r="B154" s="3">
        <v>2021</v>
      </c>
      <c r="C154" s="13">
        <f t="shared" si="26"/>
        <v>44538</v>
      </c>
      <c r="D154" s="14">
        <f t="shared" si="23"/>
        <v>44538</v>
      </c>
      <c r="E154" s="15">
        <f t="shared" si="24"/>
        <v>44538</v>
      </c>
      <c r="F154" s="18" t="s">
        <v>39</v>
      </c>
      <c r="H154" s="18" t="s">
        <v>36</v>
      </c>
      <c r="I154" s="3">
        <v>2021</v>
      </c>
      <c r="J154" s="13">
        <f t="shared" si="27"/>
        <v>44538</v>
      </c>
      <c r="K154" s="14">
        <f t="shared" si="25"/>
        <v>44538</v>
      </c>
      <c r="L154" s="15">
        <f t="shared" si="28"/>
        <v>44538</v>
      </c>
      <c r="M154" s="18" t="s">
        <v>39</v>
      </c>
    </row>
    <row r="155" spans="1:13" x14ac:dyDescent="0.25">
      <c r="A155" s="18" t="s">
        <v>36</v>
      </c>
      <c r="B155" s="3">
        <v>2022</v>
      </c>
      <c r="C155" s="13">
        <f t="shared" si="26"/>
        <v>44903</v>
      </c>
      <c r="D155" s="14">
        <f t="shared" si="23"/>
        <v>44903</v>
      </c>
      <c r="E155" s="15">
        <f t="shared" si="24"/>
        <v>44903</v>
      </c>
      <c r="F155" s="18" t="s">
        <v>39</v>
      </c>
      <c r="H155" s="18" t="s">
        <v>36</v>
      </c>
      <c r="I155" s="3">
        <v>2022</v>
      </c>
      <c r="J155" s="13">
        <f t="shared" si="27"/>
        <v>44903</v>
      </c>
      <c r="K155" s="14">
        <f t="shared" si="25"/>
        <v>44903</v>
      </c>
      <c r="L155" s="15">
        <f t="shared" si="28"/>
        <v>44903</v>
      </c>
      <c r="M155" s="18" t="s">
        <v>39</v>
      </c>
    </row>
    <row r="156" spans="1:13" x14ac:dyDescent="0.25">
      <c r="A156" s="18" t="s">
        <v>36</v>
      </c>
      <c r="B156" s="3">
        <v>2023</v>
      </c>
      <c r="C156" s="13">
        <f t="shared" si="26"/>
        <v>45268</v>
      </c>
      <c r="D156" s="14">
        <f t="shared" si="23"/>
        <v>45268</v>
      </c>
      <c r="E156" s="15">
        <f t="shared" si="24"/>
        <v>45268</v>
      </c>
      <c r="F156" s="18" t="s">
        <v>39</v>
      </c>
      <c r="H156" s="18" t="s">
        <v>36</v>
      </c>
      <c r="I156" s="3">
        <v>2023</v>
      </c>
      <c r="J156" s="13">
        <f t="shared" si="27"/>
        <v>45268</v>
      </c>
      <c r="K156" s="14">
        <f t="shared" si="25"/>
        <v>45268</v>
      </c>
      <c r="L156" s="15">
        <f t="shared" si="28"/>
        <v>45268</v>
      </c>
      <c r="M156" s="18" t="s">
        <v>39</v>
      </c>
    </row>
    <row r="157" spans="1:13" x14ac:dyDescent="0.25">
      <c r="A157" s="18" t="s">
        <v>36</v>
      </c>
      <c r="B157" s="3">
        <v>2024</v>
      </c>
      <c r="C157" s="13">
        <f t="shared" si="26"/>
        <v>45634</v>
      </c>
      <c r="D157" s="14">
        <f t="shared" si="23"/>
        <v>45634</v>
      </c>
      <c r="E157" s="15">
        <f t="shared" si="24"/>
        <v>45634</v>
      </c>
      <c r="F157" s="18" t="s">
        <v>39</v>
      </c>
      <c r="H157" s="18" t="s">
        <v>36</v>
      </c>
      <c r="I157" s="3">
        <v>2024</v>
      </c>
      <c r="J157" s="13">
        <f t="shared" si="27"/>
        <v>45634</v>
      </c>
      <c r="K157" s="14">
        <f t="shared" si="25"/>
        <v>45634</v>
      </c>
      <c r="L157" s="15">
        <f t="shared" si="28"/>
        <v>45634</v>
      </c>
      <c r="M157" s="18" t="s">
        <v>39</v>
      </c>
    </row>
    <row r="158" spans="1:13" x14ac:dyDescent="0.25">
      <c r="A158" s="18" t="s">
        <v>36</v>
      </c>
      <c r="B158" s="3">
        <v>2025</v>
      </c>
      <c r="C158" s="13">
        <f t="shared" si="26"/>
        <v>45999</v>
      </c>
      <c r="D158" s="14">
        <f t="shared" si="23"/>
        <v>45999</v>
      </c>
      <c r="E158" s="15">
        <f t="shared" si="24"/>
        <v>45999</v>
      </c>
      <c r="F158" s="18" t="s">
        <v>39</v>
      </c>
      <c r="H158" s="18" t="s">
        <v>36</v>
      </c>
      <c r="I158" s="3">
        <v>2025</v>
      </c>
      <c r="J158" s="13">
        <f t="shared" si="27"/>
        <v>45999</v>
      </c>
      <c r="K158" s="14">
        <f t="shared" si="25"/>
        <v>45999</v>
      </c>
      <c r="L158" s="15">
        <f t="shared" si="28"/>
        <v>45999</v>
      </c>
      <c r="M158" s="18" t="s">
        <v>39</v>
      </c>
    </row>
    <row r="159" spans="1:13" x14ac:dyDescent="0.25">
      <c r="A159" s="18" t="s">
        <v>36</v>
      </c>
      <c r="B159" s="3">
        <v>2026</v>
      </c>
      <c r="C159" s="13">
        <f t="shared" si="26"/>
        <v>46364</v>
      </c>
      <c r="D159" s="14">
        <f t="shared" si="23"/>
        <v>46364</v>
      </c>
      <c r="E159" s="15">
        <f t="shared" si="24"/>
        <v>46364</v>
      </c>
      <c r="F159" s="18" t="s">
        <v>39</v>
      </c>
      <c r="H159" s="18" t="s">
        <v>36</v>
      </c>
      <c r="I159" s="3">
        <v>2026</v>
      </c>
      <c r="J159" s="13">
        <f t="shared" si="27"/>
        <v>46364</v>
      </c>
      <c r="K159" s="14">
        <f t="shared" si="25"/>
        <v>46364</v>
      </c>
      <c r="L159" s="15">
        <f t="shared" si="28"/>
        <v>46364</v>
      </c>
      <c r="M159" s="18" t="s">
        <v>39</v>
      </c>
    </row>
    <row r="160" spans="1:13" x14ac:dyDescent="0.25">
      <c r="A160" s="18" t="s">
        <v>36</v>
      </c>
      <c r="B160" s="3">
        <v>2027</v>
      </c>
      <c r="C160" s="13">
        <f t="shared" si="26"/>
        <v>46729</v>
      </c>
      <c r="D160" s="14">
        <f t="shared" si="23"/>
        <v>46729</v>
      </c>
      <c r="E160" s="15">
        <f t="shared" si="24"/>
        <v>46729</v>
      </c>
      <c r="F160" s="18" t="s">
        <v>39</v>
      </c>
      <c r="H160" s="18" t="s">
        <v>36</v>
      </c>
      <c r="I160" s="3">
        <v>2027</v>
      </c>
      <c r="J160" s="13">
        <f t="shared" si="27"/>
        <v>46729</v>
      </c>
      <c r="K160" s="14">
        <f t="shared" si="25"/>
        <v>46729</v>
      </c>
      <c r="L160" s="15">
        <f t="shared" si="28"/>
        <v>46729</v>
      </c>
      <c r="M160" s="18" t="s">
        <v>39</v>
      </c>
    </row>
    <row r="161" spans="1:13" x14ac:dyDescent="0.25">
      <c r="A161" s="18" t="s">
        <v>36</v>
      </c>
      <c r="B161" s="3">
        <v>2028</v>
      </c>
      <c r="C161" s="13">
        <f t="shared" si="26"/>
        <v>47095</v>
      </c>
      <c r="D161" s="14">
        <f t="shared" si="23"/>
        <v>47095</v>
      </c>
      <c r="E161" s="15">
        <f t="shared" si="24"/>
        <v>47095</v>
      </c>
      <c r="F161" s="18" t="s">
        <v>39</v>
      </c>
      <c r="H161" s="18" t="s">
        <v>36</v>
      </c>
      <c r="I161" s="3">
        <v>2028</v>
      </c>
      <c r="J161" s="13">
        <f t="shared" si="27"/>
        <v>47095</v>
      </c>
      <c r="K161" s="14">
        <f t="shared" si="25"/>
        <v>47095</v>
      </c>
      <c r="L161" s="15">
        <f t="shared" si="28"/>
        <v>47095</v>
      </c>
      <c r="M161" s="18" t="s">
        <v>39</v>
      </c>
    </row>
    <row r="162" spans="1:13" x14ac:dyDescent="0.25">
      <c r="A162" s="18" t="s">
        <v>36</v>
      </c>
      <c r="B162" s="3">
        <v>2029</v>
      </c>
      <c r="C162" s="13">
        <f t="shared" si="26"/>
        <v>47460</v>
      </c>
      <c r="D162" s="14">
        <f t="shared" si="23"/>
        <v>47460</v>
      </c>
      <c r="E162" s="15">
        <f t="shared" si="24"/>
        <v>47460</v>
      </c>
      <c r="F162" s="18" t="s">
        <v>39</v>
      </c>
      <c r="H162" s="18" t="s">
        <v>36</v>
      </c>
      <c r="I162" s="3">
        <v>2029</v>
      </c>
      <c r="J162" s="13">
        <f t="shared" si="27"/>
        <v>47460</v>
      </c>
      <c r="K162" s="14">
        <f t="shared" si="25"/>
        <v>47460</v>
      </c>
      <c r="L162" s="15">
        <f t="shared" si="28"/>
        <v>47460</v>
      </c>
      <c r="M162" s="18" t="s">
        <v>39</v>
      </c>
    </row>
    <row r="163" spans="1:13" x14ac:dyDescent="0.25">
      <c r="A163" s="18" t="s">
        <v>36</v>
      </c>
      <c r="B163" s="3">
        <v>2030</v>
      </c>
      <c r="C163" s="13">
        <f t="shared" si="26"/>
        <v>47825</v>
      </c>
      <c r="D163" s="14">
        <f t="shared" si="23"/>
        <v>47825</v>
      </c>
      <c r="E163" s="15">
        <f t="shared" si="24"/>
        <v>47825</v>
      </c>
      <c r="F163" s="18" t="s">
        <v>39</v>
      </c>
      <c r="H163" s="18" t="s">
        <v>36</v>
      </c>
      <c r="I163" s="3">
        <v>2030</v>
      </c>
      <c r="J163" s="13">
        <f t="shared" si="27"/>
        <v>47825</v>
      </c>
      <c r="K163" s="14">
        <f t="shared" si="25"/>
        <v>47825</v>
      </c>
      <c r="L163" s="15">
        <f t="shared" si="28"/>
        <v>47825</v>
      </c>
      <c r="M163" s="18" t="s">
        <v>39</v>
      </c>
    </row>
    <row r="164" spans="1:13" x14ac:dyDescent="0.25">
      <c r="A164" s="18" t="s">
        <v>37</v>
      </c>
      <c r="B164" s="3">
        <v>2013</v>
      </c>
      <c r="C164" s="13">
        <f>CONCATENATE("25/12/",$B38)*1</f>
        <v>41633</v>
      </c>
      <c r="D164" s="14">
        <f t="shared" si="23"/>
        <v>41633</v>
      </c>
      <c r="E164" s="15">
        <f t="shared" si="24"/>
        <v>41633</v>
      </c>
      <c r="F164" s="18" t="s">
        <v>39</v>
      </c>
      <c r="H164" s="18" t="s">
        <v>37</v>
      </c>
      <c r="I164" s="3">
        <v>2013</v>
      </c>
      <c r="J164" s="13">
        <f>CONCATENATE("25/12/",$B38)*1</f>
        <v>41633</v>
      </c>
      <c r="K164" s="14">
        <f t="shared" si="25"/>
        <v>41633</v>
      </c>
      <c r="L164" s="15">
        <f t="shared" si="28"/>
        <v>41633</v>
      </c>
      <c r="M164" s="18" t="s">
        <v>39</v>
      </c>
    </row>
    <row r="165" spans="1:13" x14ac:dyDescent="0.25">
      <c r="A165" s="18" t="s">
        <v>37</v>
      </c>
      <c r="B165" s="3">
        <v>2014</v>
      </c>
      <c r="C165" s="13">
        <f t="shared" ref="C165:C181" si="29">CONCATENATE("25/12/",$B39)*1</f>
        <v>41998</v>
      </c>
      <c r="D165" s="14">
        <f t="shared" si="23"/>
        <v>41998</v>
      </c>
      <c r="E165" s="15">
        <f t="shared" si="24"/>
        <v>41998</v>
      </c>
      <c r="F165" s="18" t="s">
        <v>39</v>
      </c>
      <c r="H165" s="18" t="s">
        <v>37</v>
      </c>
      <c r="I165" s="3">
        <v>2014</v>
      </c>
      <c r="J165" s="13">
        <f t="shared" ref="J165:J181" si="30">CONCATENATE("25/12/",$B39)*1</f>
        <v>41998</v>
      </c>
      <c r="K165" s="14">
        <f t="shared" si="25"/>
        <v>41998</v>
      </c>
      <c r="L165" s="15">
        <f t="shared" si="28"/>
        <v>41998</v>
      </c>
      <c r="M165" s="18" t="s">
        <v>39</v>
      </c>
    </row>
    <row r="166" spans="1:13" x14ac:dyDescent="0.25">
      <c r="A166" s="18" t="s">
        <v>37</v>
      </c>
      <c r="B166" s="3">
        <v>2015</v>
      </c>
      <c r="C166" s="13">
        <f t="shared" si="29"/>
        <v>42363</v>
      </c>
      <c r="D166" s="14">
        <f t="shared" si="23"/>
        <v>42363</v>
      </c>
      <c r="E166" s="15">
        <f t="shared" si="24"/>
        <v>42363</v>
      </c>
      <c r="F166" s="18" t="s">
        <v>39</v>
      </c>
      <c r="H166" s="18" t="s">
        <v>37</v>
      </c>
      <c r="I166" s="3">
        <v>2015</v>
      </c>
      <c r="J166" s="13">
        <f t="shared" si="30"/>
        <v>42363</v>
      </c>
      <c r="K166" s="14">
        <f t="shared" si="25"/>
        <v>42363</v>
      </c>
      <c r="L166" s="15">
        <f t="shared" si="28"/>
        <v>42363</v>
      </c>
      <c r="M166" s="18" t="s">
        <v>39</v>
      </c>
    </row>
    <row r="167" spans="1:13" x14ac:dyDescent="0.25">
      <c r="A167" s="18" t="s">
        <v>37</v>
      </c>
      <c r="B167" s="3">
        <v>2016</v>
      </c>
      <c r="C167" s="13">
        <f t="shared" si="29"/>
        <v>42729</v>
      </c>
      <c r="D167" s="14">
        <f t="shared" si="23"/>
        <v>42729</v>
      </c>
      <c r="E167" s="15">
        <f t="shared" si="24"/>
        <v>42729</v>
      </c>
      <c r="F167" s="18" t="s">
        <v>39</v>
      </c>
      <c r="H167" s="18" t="s">
        <v>37</v>
      </c>
      <c r="I167" s="3">
        <v>2016</v>
      </c>
      <c r="J167" s="13">
        <f t="shared" si="30"/>
        <v>42729</v>
      </c>
      <c r="K167" s="14">
        <f t="shared" si="25"/>
        <v>42729</v>
      </c>
      <c r="L167" s="15">
        <f t="shared" si="28"/>
        <v>42729</v>
      </c>
      <c r="M167" s="18" t="s">
        <v>39</v>
      </c>
    </row>
    <row r="168" spans="1:13" x14ac:dyDescent="0.25">
      <c r="A168" s="18" t="s">
        <v>37</v>
      </c>
      <c r="B168" s="3">
        <v>2017</v>
      </c>
      <c r="C168" s="13">
        <f t="shared" si="29"/>
        <v>43094</v>
      </c>
      <c r="D168" s="14">
        <f t="shared" si="23"/>
        <v>43094</v>
      </c>
      <c r="E168" s="15">
        <f t="shared" si="24"/>
        <v>43094</v>
      </c>
      <c r="F168" s="18" t="s">
        <v>39</v>
      </c>
      <c r="H168" s="18" t="s">
        <v>37</v>
      </c>
      <c r="I168" s="3">
        <v>2017</v>
      </c>
      <c r="J168" s="13">
        <f t="shared" si="30"/>
        <v>43094</v>
      </c>
      <c r="K168" s="14">
        <f t="shared" si="25"/>
        <v>43094</v>
      </c>
      <c r="L168" s="15">
        <f t="shared" si="28"/>
        <v>43094</v>
      </c>
      <c r="M168" s="18" t="s">
        <v>39</v>
      </c>
    </row>
    <row r="169" spans="1:13" x14ac:dyDescent="0.25">
      <c r="A169" s="18" t="s">
        <v>37</v>
      </c>
      <c r="B169" s="3">
        <v>2018</v>
      </c>
      <c r="C169" s="13">
        <f t="shared" si="29"/>
        <v>43459</v>
      </c>
      <c r="D169" s="14">
        <f t="shared" si="23"/>
        <v>43459</v>
      </c>
      <c r="E169" s="15">
        <f t="shared" si="24"/>
        <v>43459</v>
      </c>
      <c r="F169" s="18" t="s">
        <v>39</v>
      </c>
      <c r="H169" s="18" t="s">
        <v>37</v>
      </c>
      <c r="I169" s="3">
        <v>2018</v>
      </c>
      <c r="J169" s="13">
        <f t="shared" si="30"/>
        <v>43459</v>
      </c>
      <c r="K169" s="14">
        <f t="shared" si="25"/>
        <v>43459</v>
      </c>
      <c r="L169" s="15">
        <f t="shared" si="28"/>
        <v>43459</v>
      </c>
      <c r="M169" s="18" t="s">
        <v>39</v>
      </c>
    </row>
    <row r="170" spans="1:13" x14ac:dyDescent="0.25">
      <c r="A170" s="18" t="s">
        <v>37</v>
      </c>
      <c r="B170" s="3">
        <v>2019</v>
      </c>
      <c r="C170" s="13">
        <f t="shared" si="29"/>
        <v>43824</v>
      </c>
      <c r="D170" s="14">
        <f t="shared" si="23"/>
        <v>43824</v>
      </c>
      <c r="E170" s="15">
        <f t="shared" si="24"/>
        <v>43824</v>
      </c>
      <c r="F170" s="18" t="s">
        <v>39</v>
      </c>
      <c r="H170" s="18" t="s">
        <v>37</v>
      </c>
      <c r="I170" s="3">
        <v>2019</v>
      </c>
      <c r="J170" s="13">
        <f t="shared" si="30"/>
        <v>43824</v>
      </c>
      <c r="K170" s="14">
        <f t="shared" si="25"/>
        <v>43824</v>
      </c>
      <c r="L170" s="15">
        <f t="shared" si="28"/>
        <v>43824</v>
      </c>
      <c r="M170" s="18" t="s">
        <v>39</v>
      </c>
    </row>
    <row r="171" spans="1:13" x14ac:dyDescent="0.25">
      <c r="A171" s="18" t="s">
        <v>37</v>
      </c>
      <c r="B171" s="3">
        <v>2020</v>
      </c>
      <c r="C171" s="13">
        <f t="shared" si="29"/>
        <v>44190</v>
      </c>
      <c r="D171" s="14">
        <f t="shared" si="23"/>
        <v>44190</v>
      </c>
      <c r="E171" s="15">
        <f t="shared" si="24"/>
        <v>44190</v>
      </c>
      <c r="F171" s="18" t="s">
        <v>39</v>
      </c>
      <c r="H171" s="18" t="s">
        <v>37</v>
      </c>
      <c r="I171" s="3">
        <v>2020</v>
      </c>
      <c r="J171" s="13">
        <f t="shared" si="30"/>
        <v>44190</v>
      </c>
      <c r="K171" s="14">
        <f t="shared" si="25"/>
        <v>44190</v>
      </c>
      <c r="L171" s="15">
        <f t="shared" si="28"/>
        <v>44190</v>
      </c>
      <c r="M171" s="18" t="s">
        <v>39</v>
      </c>
    </row>
    <row r="172" spans="1:13" x14ac:dyDescent="0.25">
      <c r="A172" s="18" t="s">
        <v>37</v>
      </c>
      <c r="B172" s="3">
        <v>2021</v>
      </c>
      <c r="C172" s="13">
        <f t="shared" si="29"/>
        <v>44555</v>
      </c>
      <c r="D172" s="14">
        <f t="shared" si="23"/>
        <v>44555</v>
      </c>
      <c r="E172" s="15">
        <f t="shared" si="24"/>
        <v>44555</v>
      </c>
      <c r="F172" s="18" t="s">
        <v>39</v>
      </c>
      <c r="H172" s="18" t="s">
        <v>37</v>
      </c>
      <c r="I172" s="3">
        <v>2021</v>
      </c>
      <c r="J172" s="13">
        <f t="shared" si="30"/>
        <v>44555</v>
      </c>
      <c r="K172" s="14">
        <f t="shared" si="25"/>
        <v>44555</v>
      </c>
      <c r="L172" s="15">
        <f t="shared" si="28"/>
        <v>44555</v>
      </c>
      <c r="M172" s="18" t="s">
        <v>39</v>
      </c>
    </row>
    <row r="173" spans="1:13" x14ac:dyDescent="0.25">
      <c r="A173" s="18" t="s">
        <v>37</v>
      </c>
      <c r="B173" s="3">
        <v>2022</v>
      </c>
      <c r="C173" s="13">
        <f t="shared" si="29"/>
        <v>44920</v>
      </c>
      <c r="D173" s="14">
        <f t="shared" si="23"/>
        <v>44920</v>
      </c>
      <c r="E173" s="15">
        <f t="shared" si="24"/>
        <v>44920</v>
      </c>
      <c r="F173" s="18" t="s">
        <v>39</v>
      </c>
      <c r="H173" s="18" t="s">
        <v>37</v>
      </c>
      <c r="I173" s="3">
        <v>2022</v>
      </c>
      <c r="J173" s="13">
        <f t="shared" si="30"/>
        <v>44920</v>
      </c>
      <c r="K173" s="14">
        <f t="shared" si="25"/>
        <v>44920</v>
      </c>
      <c r="L173" s="15">
        <f t="shared" si="28"/>
        <v>44920</v>
      </c>
      <c r="M173" s="18" t="s">
        <v>39</v>
      </c>
    </row>
    <row r="174" spans="1:13" x14ac:dyDescent="0.25">
      <c r="A174" s="18" t="s">
        <v>37</v>
      </c>
      <c r="B174" s="3">
        <v>2023</v>
      </c>
      <c r="C174" s="13">
        <f t="shared" si="29"/>
        <v>45285</v>
      </c>
      <c r="D174" s="14">
        <f t="shared" si="23"/>
        <v>45285</v>
      </c>
      <c r="E174" s="15">
        <f t="shared" si="24"/>
        <v>45285</v>
      </c>
      <c r="F174" s="18" t="s">
        <v>39</v>
      </c>
      <c r="H174" s="18" t="s">
        <v>37</v>
      </c>
      <c r="I174" s="3">
        <v>2023</v>
      </c>
      <c r="J174" s="13">
        <f t="shared" si="30"/>
        <v>45285</v>
      </c>
      <c r="K174" s="14">
        <f t="shared" si="25"/>
        <v>45285</v>
      </c>
      <c r="L174" s="15">
        <f t="shared" si="28"/>
        <v>45285</v>
      </c>
      <c r="M174" s="18" t="s">
        <v>39</v>
      </c>
    </row>
    <row r="175" spans="1:13" x14ac:dyDescent="0.25">
      <c r="A175" s="18" t="s">
        <v>37</v>
      </c>
      <c r="B175" s="3">
        <v>2024</v>
      </c>
      <c r="C175" s="13">
        <f t="shared" si="29"/>
        <v>45651</v>
      </c>
      <c r="D175" s="14">
        <f t="shared" si="23"/>
        <v>45651</v>
      </c>
      <c r="E175" s="15">
        <f t="shared" si="24"/>
        <v>45651</v>
      </c>
      <c r="F175" s="18" t="s">
        <v>39</v>
      </c>
      <c r="H175" s="18" t="s">
        <v>37</v>
      </c>
      <c r="I175" s="3">
        <v>2024</v>
      </c>
      <c r="J175" s="13">
        <f t="shared" si="30"/>
        <v>45651</v>
      </c>
      <c r="K175" s="14">
        <f t="shared" si="25"/>
        <v>45651</v>
      </c>
      <c r="L175" s="15">
        <f t="shared" si="28"/>
        <v>45651</v>
      </c>
      <c r="M175" s="18" t="s">
        <v>39</v>
      </c>
    </row>
    <row r="176" spans="1:13" x14ac:dyDescent="0.25">
      <c r="A176" s="18" t="s">
        <v>37</v>
      </c>
      <c r="B176" s="3">
        <v>2025</v>
      </c>
      <c r="C176" s="13">
        <f t="shared" si="29"/>
        <v>46016</v>
      </c>
      <c r="D176" s="14">
        <f t="shared" si="23"/>
        <v>46016</v>
      </c>
      <c r="E176" s="15">
        <f t="shared" si="24"/>
        <v>46016</v>
      </c>
      <c r="F176" s="18" t="s">
        <v>39</v>
      </c>
      <c r="H176" s="18" t="s">
        <v>37</v>
      </c>
      <c r="I176" s="3">
        <v>2025</v>
      </c>
      <c r="J176" s="13">
        <f t="shared" si="30"/>
        <v>46016</v>
      </c>
      <c r="K176" s="14">
        <f t="shared" si="25"/>
        <v>46016</v>
      </c>
      <c r="L176" s="15">
        <f t="shared" si="28"/>
        <v>46016</v>
      </c>
      <c r="M176" s="18" t="s">
        <v>39</v>
      </c>
    </row>
    <row r="177" spans="1:13" x14ac:dyDescent="0.25">
      <c r="A177" s="18" t="s">
        <v>37</v>
      </c>
      <c r="B177" s="3">
        <v>2026</v>
      </c>
      <c r="C177" s="13">
        <f t="shared" si="29"/>
        <v>46381</v>
      </c>
      <c r="D177" s="14">
        <f t="shared" si="23"/>
        <v>46381</v>
      </c>
      <c r="E177" s="15">
        <f t="shared" si="24"/>
        <v>46381</v>
      </c>
      <c r="F177" s="18" t="s">
        <v>39</v>
      </c>
      <c r="H177" s="18" t="s">
        <v>37</v>
      </c>
      <c r="I177" s="3">
        <v>2026</v>
      </c>
      <c r="J177" s="13">
        <f t="shared" si="30"/>
        <v>46381</v>
      </c>
      <c r="K177" s="14">
        <f t="shared" si="25"/>
        <v>46381</v>
      </c>
      <c r="L177" s="15">
        <f t="shared" si="28"/>
        <v>46381</v>
      </c>
      <c r="M177" s="18" t="s">
        <v>39</v>
      </c>
    </row>
    <row r="178" spans="1:13" x14ac:dyDescent="0.25">
      <c r="A178" s="18" t="s">
        <v>37</v>
      </c>
      <c r="B178" s="3">
        <v>2027</v>
      </c>
      <c r="C178" s="13">
        <f t="shared" si="29"/>
        <v>46746</v>
      </c>
      <c r="D178" s="14">
        <f t="shared" si="23"/>
        <v>46746</v>
      </c>
      <c r="E178" s="15">
        <f t="shared" si="24"/>
        <v>46746</v>
      </c>
      <c r="F178" s="18" t="s">
        <v>39</v>
      </c>
      <c r="H178" s="18" t="s">
        <v>37</v>
      </c>
      <c r="I178" s="3">
        <v>2027</v>
      </c>
      <c r="J178" s="13">
        <f t="shared" si="30"/>
        <v>46746</v>
      </c>
      <c r="K178" s="14">
        <f t="shared" si="25"/>
        <v>46746</v>
      </c>
      <c r="L178" s="15">
        <f t="shared" si="28"/>
        <v>46746</v>
      </c>
      <c r="M178" s="18" t="s">
        <v>39</v>
      </c>
    </row>
    <row r="179" spans="1:13" x14ac:dyDescent="0.25">
      <c r="A179" s="18" t="s">
        <v>37</v>
      </c>
      <c r="B179" s="3">
        <v>2028</v>
      </c>
      <c r="C179" s="13">
        <f t="shared" si="29"/>
        <v>47112</v>
      </c>
      <c r="D179" s="14">
        <f t="shared" si="23"/>
        <v>47112</v>
      </c>
      <c r="E179" s="15">
        <f t="shared" si="24"/>
        <v>47112</v>
      </c>
      <c r="F179" s="18" t="s">
        <v>39</v>
      </c>
      <c r="H179" s="18" t="s">
        <v>37</v>
      </c>
      <c r="I179" s="3">
        <v>2028</v>
      </c>
      <c r="J179" s="13">
        <f t="shared" si="30"/>
        <v>47112</v>
      </c>
      <c r="K179" s="14">
        <f t="shared" si="25"/>
        <v>47112</v>
      </c>
      <c r="L179" s="15">
        <f t="shared" si="28"/>
        <v>47112</v>
      </c>
      <c r="M179" s="18" t="s">
        <v>39</v>
      </c>
    </row>
    <row r="180" spans="1:13" x14ac:dyDescent="0.25">
      <c r="A180" s="18" t="s">
        <v>37</v>
      </c>
      <c r="B180" s="3">
        <v>2029</v>
      </c>
      <c r="C180" s="13">
        <f t="shared" si="29"/>
        <v>47477</v>
      </c>
      <c r="D180" s="14">
        <f t="shared" si="23"/>
        <v>47477</v>
      </c>
      <c r="E180" s="15">
        <f t="shared" si="24"/>
        <v>47477</v>
      </c>
      <c r="F180" s="18" t="s">
        <v>39</v>
      </c>
      <c r="H180" s="18" t="s">
        <v>37</v>
      </c>
      <c r="I180" s="3">
        <v>2029</v>
      </c>
      <c r="J180" s="13">
        <f t="shared" si="30"/>
        <v>47477</v>
      </c>
      <c r="K180" s="14">
        <f t="shared" si="25"/>
        <v>47477</v>
      </c>
      <c r="L180" s="15">
        <f t="shared" si="28"/>
        <v>47477</v>
      </c>
      <c r="M180" s="18" t="s">
        <v>39</v>
      </c>
    </row>
    <row r="181" spans="1:13" x14ac:dyDescent="0.25">
      <c r="A181" s="18" t="s">
        <v>37</v>
      </c>
      <c r="B181" s="3">
        <v>2030</v>
      </c>
      <c r="C181" s="13">
        <f t="shared" si="29"/>
        <v>47842</v>
      </c>
      <c r="D181" s="14">
        <f t="shared" si="23"/>
        <v>47842</v>
      </c>
      <c r="E181" s="15">
        <f t="shared" si="24"/>
        <v>47842</v>
      </c>
      <c r="F181" s="18" t="s">
        <v>39</v>
      </c>
      <c r="H181" s="18" t="s">
        <v>37</v>
      </c>
      <c r="I181" s="3">
        <v>2030</v>
      </c>
      <c r="J181" s="13">
        <f t="shared" si="30"/>
        <v>47842</v>
      </c>
      <c r="K181" s="14">
        <f t="shared" si="25"/>
        <v>47842</v>
      </c>
      <c r="L181" s="15">
        <f t="shared" si="28"/>
        <v>47842</v>
      </c>
      <c r="M181" s="18" t="s">
        <v>39</v>
      </c>
    </row>
    <row r="182" spans="1:13" x14ac:dyDescent="0.25">
      <c r="A182" s="18" t="s">
        <v>38</v>
      </c>
      <c r="B182" s="3">
        <v>2013</v>
      </c>
      <c r="C182" s="13">
        <f>CONCATENATE("26/12/",$B56)*1</f>
        <v>41634</v>
      </c>
      <c r="D182" s="14">
        <f t="shared" si="23"/>
        <v>41634</v>
      </c>
      <c r="E182" s="15">
        <f t="shared" si="24"/>
        <v>41634</v>
      </c>
      <c r="F182" s="18" t="s">
        <v>39</v>
      </c>
      <c r="H182" s="18" t="s">
        <v>38</v>
      </c>
      <c r="I182" s="3">
        <v>2013</v>
      </c>
      <c r="J182" s="13">
        <f>CONCATENATE("26/12/",$B56)*1</f>
        <v>41634</v>
      </c>
      <c r="K182" s="14">
        <f t="shared" si="25"/>
        <v>41634</v>
      </c>
      <c r="L182" s="15">
        <f t="shared" si="28"/>
        <v>41634</v>
      </c>
      <c r="M182" s="18" t="s">
        <v>39</v>
      </c>
    </row>
    <row r="183" spans="1:13" x14ac:dyDescent="0.25">
      <c r="A183" s="18" t="s">
        <v>38</v>
      </c>
      <c r="B183" s="3">
        <v>2014</v>
      </c>
      <c r="C183" s="13">
        <f t="shared" ref="C183:C199" si="31">CONCATENATE("26/12/",$B57)*1</f>
        <v>41999</v>
      </c>
      <c r="D183" s="14">
        <f t="shared" si="23"/>
        <v>41999</v>
      </c>
      <c r="E183" s="15">
        <f t="shared" si="24"/>
        <v>41999</v>
      </c>
      <c r="F183" s="18" t="s">
        <v>39</v>
      </c>
      <c r="H183" s="18" t="s">
        <v>38</v>
      </c>
      <c r="I183" s="3">
        <v>2014</v>
      </c>
      <c r="J183" s="13">
        <f t="shared" ref="J183:J199" si="32">CONCATENATE("26/12/",$B57)*1</f>
        <v>41999</v>
      </c>
      <c r="K183" s="14">
        <f t="shared" si="25"/>
        <v>41999</v>
      </c>
      <c r="L183" s="15">
        <f t="shared" si="28"/>
        <v>41999</v>
      </c>
      <c r="M183" s="18" t="s">
        <v>39</v>
      </c>
    </row>
    <row r="184" spans="1:13" x14ac:dyDescent="0.25">
      <c r="A184" s="18" t="s">
        <v>38</v>
      </c>
      <c r="B184" s="3">
        <v>2015</v>
      </c>
      <c r="C184" s="13">
        <f t="shared" si="31"/>
        <v>42364</v>
      </c>
      <c r="D184" s="14">
        <f t="shared" si="23"/>
        <v>42364</v>
      </c>
      <c r="E184" s="15">
        <f t="shared" si="24"/>
        <v>42364</v>
      </c>
      <c r="F184" s="18" t="s">
        <v>39</v>
      </c>
      <c r="H184" s="18" t="s">
        <v>38</v>
      </c>
      <c r="I184" s="3">
        <v>2015</v>
      </c>
      <c r="J184" s="13">
        <f t="shared" si="32"/>
        <v>42364</v>
      </c>
      <c r="K184" s="14">
        <f t="shared" si="25"/>
        <v>42364</v>
      </c>
      <c r="L184" s="15">
        <f t="shared" si="28"/>
        <v>42364</v>
      </c>
      <c r="M184" s="18" t="s">
        <v>39</v>
      </c>
    </row>
    <row r="185" spans="1:13" x14ac:dyDescent="0.25">
      <c r="A185" s="18" t="s">
        <v>38</v>
      </c>
      <c r="B185" s="3">
        <v>2016</v>
      </c>
      <c r="C185" s="13">
        <f t="shared" si="31"/>
        <v>42730</v>
      </c>
      <c r="D185" s="14">
        <f t="shared" si="23"/>
        <v>42730</v>
      </c>
      <c r="E185" s="15">
        <f t="shared" si="24"/>
        <v>42730</v>
      </c>
      <c r="F185" s="18" t="s">
        <v>39</v>
      </c>
      <c r="H185" s="18" t="s">
        <v>38</v>
      </c>
      <c r="I185" s="3">
        <v>2016</v>
      </c>
      <c r="J185" s="13">
        <f t="shared" si="32"/>
        <v>42730</v>
      </c>
      <c r="K185" s="14">
        <f t="shared" si="25"/>
        <v>42730</v>
      </c>
      <c r="L185" s="15">
        <f t="shared" si="28"/>
        <v>42730</v>
      </c>
      <c r="M185" s="18" t="s">
        <v>39</v>
      </c>
    </row>
    <row r="186" spans="1:13" x14ac:dyDescent="0.25">
      <c r="A186" s="18" t="s">
        <v>38</v>
      </c>
      <c r="B186" s="3">
        <v>2017</v>
      </c>
      <c r="C186" s="13">
        <f t="shared" si="31"/>
        <v>43095</v>
      </c>
      <c r="D186" s="14">
        <f t="shared" si="23"/>
        <v>43095</v>
      </c>
      <c r="E186" s="15">
        <f t="shared" si="24"/>
        <v>43095</v>
      </c>
      <c r="F186" s="18" t="s">
        <v>39</v>
      </c>
      <c r="H186" s="18" t="s">
        <v>38</v>
      </c>
      <c r="I186" s="3">
        <v>2017</v>
      </c>
      <c r="J186" s="13">
        <f t="shared" si="32"/>
        <v>43095</v>
      </c>
      <c r="K186" s="14">
        <f t="shared" si="25"/>
        <v>43095</v>
      </c>
      <c r="L186" s="15">
        <f t="shared" si="28"/>
        <v>43095</v>
      </c>
      <c r="M186" s="18" t="s">
        <v>39</v>
      </c>
    </row>
    <row r="187" spans="1:13" x14ac:dyDescent="0.25">
      <c r="A187" s="18" t="s">
        <v>38</v>
      </c>
      <c r="B187" s="3">
        <v>2018</v>
      </c>
      <c r="C187" s="13">
        <f t="shared" si="31"/>
        <v>43460</v>
      </c>
      <c r="D187" s="14">
        <f t="shared" si="23"/>
        <v>43460</v>
      </c>
      <c r="E187" s="15">
        <f t="shared" si="24"/>
        <v>43460</v>
      </c>
      <c r="F187" s="18" t="s">
        <v>39</v>
      </c>
      <c r="H187" s="18" t="s">
        <v>38</v>
      </c>
      <c r="I187" s="3">
        <v>2018</v>
      </c>
      <c r="J187" s="13">
        <f t="shared" si="32"/>
        <v>43460</v>
      </c>
      <c r="K187" s="14">
        <f t="shared" si="25"/>
        <v>43460</v>
      </c>
      <c r="L187" s="15">
        <f t="shared" si="28"/>
        <v>43460</v>
      </c>
      <c r="M187" s="18" t="s">
        <v>39</v>
      </c>
    </row>
    <row r="188" spans="1:13" x14ac:dyDescent="0.25">
      <c r="A188" s="18" t="s">
        <v>38</v>
      </c>
      <c r="B188" s="3">
        <v>2019</v>
      </c>
      <c r="C188" s="13">
        <f t="shared" si="31"/>
        <v>43825</v>
      </c>
      <c r="D188" s="14">
        <f t="shared" si="23"/>
        <v>43825</v>
      </c>
      <c r="E188" s="15">
        <f t="shared" si="24"/>
        <v>43825</v>
      </c>
      <c r="F188" s="18" t="s">
        <v>39</v>
      </c>
      <c r="H188" s="18" t="s">
        <v>38</v>
      </c>
      <c r="I188" s="3">
        <v>2019</v>
      </c>
      <c r="J188" s="13">
        <f t="shared" si="32"/>
        <v>43825</v>
      </c>
      <c r="K188" s="14">
        <f t="shared" si="25"/>
        <v>43825</v>
      </c>
      <c r="L188" s="15">
        <f t="shared" si="28"/>
        <v>43825</v>
      </c>
      <c r="M188" s="18" t="s">
        <v>39</v>
      </c>
    </row>
    <row r="189" spans="1:13" x14ac:dyDescent="0.25">
      <c r="A189" s="18" t="s">
        <v>38</v>
      </c>
      <c r="B189" s="3">
        <v>2020</v>
      </c>
      <c r="C189" s="13">
        <f t="shared" si="31"/>
        <v>44191</v>
      </c>
      <c r="D189" s="14">
        <f t="shared" si="23"/>
        <v>44191</v>
      </c>
      <c r="E189" s="15">
        <f t="shared" si="24"/>
        <v>44191</v>
      </c>
      <c r="F189" s="18" t="s">
        <v>39</v>
      </c>
      <c r="H189" s="18" t="s">
        <v>38</v>
      </c>
      <c r="I189" s="3">
        <v>2020</v>
      </c>
      <c r="J189" s="13">
        <f t="shared" si="32"/>
        <v>44191</v>
      </c>
      <c r="K189" s="14">
        <f t="shared" si="25"/>
        <v>44191</v>
      </c>
      <c r="L189" s="15">
        <f t="shared" si="28"/>
        <v>44191</v>
      </c>
      <c r="M189" s="18" t="s">
        <v>39</v>
      </c>
    </row>
    <row r="190" spans="1:13" x14ac:dyDescent="0.25">
      <c r="A190" s="18" t="s">
        <v>38</v>
      </c>
      <c r="B190" s="3">
        <v>2021</v>
      </c>
      <c r="C190" s="13">
        <f t="shared" si="31"/>
        <v>44556</v>
      </c>
      <c r="D190" s="14">
        <f t="shared" si="23"/>
        <v>44556</v>
      </c>
      <c r="E190" s="15">
        <f t="shared" si="24"/>
        <v>44556</v>
      </c>
      <c r="F190" s="18" t="s">
        <v>39</v>
      </c>
      <c r="H190" s="18" t="s">
        <v>38</v>
      </c>
      <c r="I190" s="3">
        <v>2021</v>
      </c>
      <c r="J190" s="13">
        <f t="shared" si="32"/>
        <v>44556</v>
      </c>
      <c r="K190" s="14">
        <f t="shared" si="25"/>
        <v>44556</v>
      </c>
      <c r="L190" s="15">
        <f t="shared" si="28"/>
        <v>44556</v>
      </c>
      <c r="M190" s="18" t="s">
        <v>39</v>
      </c>
    </row>
    <row r="191" spans="1:13" x14ac:dyDescent="0.25">
      <c r="A191" s="18" t="s">
        <v>38</v>
      </c>
      <c r="B191" s="3">
        <v>2022</v>
      </c>
      <c r="C191" s="13">
        <f t="shared" si="31"/>
        <v>44921</v>
      </c>
      <c r="D191" s="14">
        <f t="shared" si="23"/>
        <v>44921</v>
      </c>
      <c r="E191" s="15">
        <f t="shared" si="24"/>
        <v>44921</v>
      </c>
      <c r="F191" s="18" t="s">
        <v>39</v>
      </c>
      <c r="H191" s="18" t="s">
        <v>38</v>
      </c>
      <c r="I191" s="3">
        <v>2022</v>
      </c>
      <c r="J191" s="13">
        <f t="shared" si="32"/>
        <v>44921</v>
      </c>
      <c r="K191" s="14">
        <f t="shared" si="25"/>
        <v>44921</v>
      </c>
      <c r="L191" s="15">
        <f t="shared" si="28"/>
        <v>44921</v>
      </c>
      <c r="M191" s="18" t="s">
        <v>39</v>
      </c>
    </row>
    <row r="192" spans="1:13" x14ac:dyDescent="0.25">
      <c r="A192" s="18" t="s">
        <v>38</v>
      </c>
      <c r="B192" s="3">
        <v>2023</v>
      </c>
      <c r="C192" s="13">
        <f t="shared" si="31"/>
        <v>45286</v>
      </c>
      <c r="D192" s="14">
        <f t="shared" si="23"/>
        <v>45286</v>
      </c>
      <c r="E192" s="15">
        <f t="shared" si="24"/>
        <v>45286</v>
      </c>
      <c r="F192" s="18" t="s">
        <v>39</v>
      </c>
      <c r="H192" s="18" t="s">
        <v>38</v>
      </c>
      <c r="I192" s="3">
        <v>2023</v>
      </c>
      <c r="J192" s="13">
        <f t="shared" si="32"/>
        <v>45286</v>
      </c>
      <c r="K192" s="14">
        <f t="shared" si="25"/>
        <v>45286</v>
      </c>
      <c r="L192" s="15">
        <f t="shared" si="28"/>
        <v>45286</v>
      </c>
      <c r="M192" s="18" t="s">
        <v>39</v>
      </c>
    </row>
    <row r="193" spans="1:13" x14ac:dyDescent="0.25">
      <c r="A193" s="18" t="s">
        <v>38</v>
      </c>
      <c r="B193" s="3">
        <v>2024</v>
      </c>
      <c r="C193" s="13">
        <f t="shared" si="31"/>
        <v>45652</v>
      </c>
      <c r="D193" s="14">
        <f t="shared" si="23"/>
        <v>45652</v>
      </c>
      <c r="E193" s="15">
        <f t="shared" si="24"/>
        <v>45652</v>
      </c>
      <c r="F193" s="18" t="s">
        <v>39</v>
      </c>
      <c r="H193" s="18" t="s">
        <v>38</v>
      </c>
      <c r="I193" s="3">
        <v>2024</v>
      </c>
      <c r="J193" s="13">
        <f t="shared" si="32"/>
        <v>45652</v>
      </c>
      <c r="K193" s="14">
        <f t="shared" si="25"/>
        <v>45652</v>
      </c>
      <c r="L193" s="15">
        <f t="shared" si="28"/>
        <v>45652</v>
      </c>
      <c r="M193" s="18" t="s">
        <v>39</v>
      </c>
    </row>
    <row r="194" spans="1:13" x14ac:dyDescent="0.25">
      <c r="A194" s="18" t="s">
        <v>38</v>
      </c>
      <c r="B194" s="3">
        <v>2025</v>
      </c>
      <c r="C194" s="13">
        <f t="shared" si="31"/>
        <v>46017</v>
      </c>
      <c r="D194" s="14">
        <f t="shared" si="23"/>
        <v>46017</v>
      </c>
      <c r="E194" s="15">
        <f t="shared" si="24"/>
        <v>46017</v>
      </c>
      <c r="F194" s="18" t="s">
        <v>39</v>
      </c>
      <c r="H194" s="18" t="s">
        <v>38</v>
      </c>
      <c r="I194" s="3">
        <v>2025</v>
      </c>
      <c r="J194" s="13">
        <f t="shared" si="32"/>
        <v>46017</v>
      </c>
      <c r="K194" s="14">
        <f t="shared" si="25"/>
        <v>46017</v>
      </c>
      <c r="L194" s="15">
        <f t="shared" si="28"/>
        <v>46017</v>
      </c>
      <c r="M194" s="18" t="s">
        <v>39</v>
      </c>
    </row>
    <row r="195" spans="1:13" x14ac:dyDescent="0.25">
      <c r="A195" s="18" t="s">
        <v>38</v>
      </c>
      <c r="B195" s="3">
        <v>2026</v>
      </c>
      <c r="C195" s="13">
        <f t="shared" si="31"/>
        <v>46382</v>
      </c>
      <c r="D195" s="14">
        <f t="shared" ref="D195:D199" si="33">C195</f>
        <v>46382</v>
      </c>
      <c r="E195" s="15">
        <f t="shared" ref="E195:E199" si="34">C195</f>
        <v>46382</v>
      </c>
      <c r="F195" s="18" t="s">
        <v>39</v>
      </c>
      <c r="H195" s="18" t="s">
        <v>38</v>
      </c>
      <c r="I195" s="3">
        <v>2026</v>
      </c>
      <c r="J195" s="13">
        <f t="shared" si="32"/>
        <v>46382</v>
      </c>
      <c r="K195" s="14">
        <f t="shared" ref="K195:K198" si="35">J195</f>
        <v>46382</v>
      </c>
      <c r="L195" s="15">
        <f t="shared" si="28"/>
        <v>46382</v>
      </c>
      <c r="M195" s="18" t="s">
        <v>39</v>
      </c>
    </row>
    <row r="196" spans="1:13" x14ac:dyDescent="0.25">
      <c r="A196" s="18" t="s">
        <v>38</v>
      </c>
      <c r="B196" s="3">
        <v>2027</v>
      </c>
      <c r="C196" s="13">
        <f t="shared" si="31"/>
        <v>46747</v>
      </c>
      <c r="D196" s="14">
        <f t="shared" si="33"/>
        <v>46747</v>
      </c>
      <c r="E196" s="15">
        <f t="shared" si="34"/>
        <v>46747</v>
      </c>
      <c r="F196" s="18" t="s">
        <v>39</v>
      </c>
      <c r="H196" s="18" t="s">
        <v>38</v>
      </c>
      <c r="I196" s="3">
        <v>2027</v>
      </c>
      <c r="J196" s="13">
        <f t="shared" si="32"/>
        <v>46747</v>
      </c>
      <c r="K196" s="14">
        <f t="shared" si="35"/>
        <v>46747</v>
      </c>
      <c r="L196" s="15">
        <f t="shared" si="28"/>
        <v>46747</v>
      </c>
      <c r="M196" s="18" t="s">
        <v>39</v>
      </c>
    </row>
    <row r="197" spans="1:13" x14ac:dyDescent="0.25">
      <c r="A197" s="18" t="s">
        <v>38</v>
      </c>
      <c r="B197" s="3">
        <v>2028</v>
      </c>
      <c r="C197" s="13">
        <f t="shared" si="31"/>
        <v>47113</v>
      </c>
      <c r="D197" s="14">
        <f t="shared" si="33"/>
        <v>47113</v>
      </c>
      <c r="E197" s="15">
        <f t="shared" si="34"/>
        <v>47113</v>
      </c>
      <c r="F197" s="18" t="s">
        <v>39</v>
      </c>
      <c r="H197" s="18" t="s">
        <v>38</v>
      </c>
      <c r="I197" s="3">
        <v>2028</v>
      </c>
      <c r="J197" s="13">
        <f t="shared" si="32"/>
        <v>47113</v>
      </c>
      <c r="K197" s="14">
        <f t="shared" si="35"/>
        <v>47113</v>
      </c>
      <c r="L197" s="15">
        <f t="shared" si="28"/>
        <v>47113</v>
      </c>
      <c r="M197" s="18" t="s">
        <v>39</v>
      </c>
    </row>
    <row r="198" spans="1:13" x14ac:dyDescent="0.25">
      <c r="A198" s="18" t="s">
        <v>38</v>
      </c>
      <c r="B198" s="3">
        <v>2029</v>
      </c>
      <c r="C198" s="13">
        <f t="shared" si="31"/>
        <v>47478</v>
      </c>
      <c r="D198" s="14">
        <f t="shared" si="33"/>
        <v>47478</v>
      </c>
      <c r="E198" s="15">
        <f t="shared" si="34"/>
        <v>47478</v>
      </c>
      <c r="F198" s="18" t="s">
        <v>39</v>
      </c>
      <c r="H198" s="18" t="s">
        <v>38</v>
      </c>
      <c r="I198" s="3">
        <v>2029</v>
      </c>
      <c r="J198" s="13">
        <f t="shared" si="32"/>
        <v>47478</v>
      </c>
      <c r="K198" s="14">
        <f t="shared" si="35"/>
        <v>47478</v>
      </c>
      <c r="L198" s="15">
        <f t="shared" si="28"/>
        <v>47478</v>
      </c>
      <c r="M198" s="18" t="s">
        <v>39</v>
      </c>
    </row>
    <row r="199" spans="1:13" x14ac:dyDescent="0.25">
      <c r="A199" s="18" t="s">
        <v>38</v>
      </c>
      <c r="B199" s="3">
        <v>2030</v>
      </c>
      <c r="C199" s="13">
        <f t="shared" si="31"/>
        <v>47843</v>
      </c>
      <c r="D199" s="14">
        <f t="shared" si="33"/>
        <v>47843</v>
      </c>
      <c r="E199" s="15">
        <f t="shared" si="34"/>
        <v>47843</v>
      </c>
      <c r="F199" s="18" t="s">
        <v>39</v>
      </c>
      <c r="H199" s="18" t="s">
        <v>38</v>
      </c>
      <c r="I199" s="3">
        <v>2030</v>
      </c>
      <c r="J199" s="13">
        <f t="shared" si="32"/>
        <v>47843</v>
      </c>
      <c r="K199" s="14">
        <f>J199</f>
        <v>47843</v>
      </c>
      <c r="L199" s="15">
        <f>J199</f>
        <v>47843</v>
      </c>
      <c r="M199" s="18" t="s">
        <v>39</v>
      </c>
    </row>
    <row r="200" spans="1:13" x14ac:dyDescent="0.25">
      <c r="H200" s="18" t="s">
        <v>48</v>
      </c>
      <c r="I200" s="3">
        <v>2013</v>
      </c>
      <c r="J200" s="13">
        <f>CONCATENATE("01/08/",$I200)*1</f>
        <v>41487</v>
      </c>
      <c r="K200" s="14">
        <f t="shared" ref="K200:K263" si="36">J200</f>
        <v>41487</v>
      </c>
      <c r="L200" s="15">
        <f t="shared" ref="L200:L217" si="37">J200</f>
        <v>41487</v>
      </c>
      <c r="M200" s="18" t="s">
        <v>39</v>
      </c>
    </row>
    <row r="201" spans="1:13" x14ac:dyDescent="0.25">
      <c r="H201" s="18" t="s">
        <v>48</v>
      </c>
      <c r="I201" s="3">
        <v>2014</v>
      </c>
      <c r="J201" s="13">
        <f t="shared" ref="J201:J217" si="38">CONCATENATE("01/08/",$I201)*1</f>
        <v>41852</v>
      </c>
      <c r="K201" s="14">
        <f t="shared" si="36"/>
        <v>41852</v>
      </c>
      <c r="L201" s="15">
        <f t="shared" si="37"/>
        <v>41852</v>
      </c>
      <c r="M201" s="18" t="s">
        <v>39</v>
      </c>
    </row>
    <row r="202" spans="1:13" x14ac:dyDescent="0.25">
      <c r="H202" s="18" t="s">
        <v>48</v>
      </c>
      <c r="I202" s="3">
        <v>2015</v>
      </c>
      <c r="J202" s="13">
        <f t="shared" si="38"/>
        <v>42217</v>
      </c>
      <c r="K202" s="14">
        <f t="shared" si="36"/>
        <v>42217</v>
      </c>
      <c r="L202" s="15">
        <f t="shared" si="37"/>
        <v>42217</v>
      </c>
      <c r="M202" s="18" t="s">
        <v>39</v>
      </c>
    </row>
    <row r="203" spans="1:13" x14ac:dyDescent="0.25">
      <c r="H203" s="18" t="s">
        <v>48</v>
      </c>
      <c r="I203" s="3">
        <v>2016</v>
      </c>
      <c r="J203" s="13">
        <f t="shared" si="38"/>
        <v>42583</v>
      </c>
      <c r="K203" s="14">
        <f t="shared" si="36"/>
        <v>42583</v>
      </c>
      <c r="L203" s="15">
        <f t="shared" si="37"/>
        <v>42583</v>
      </c>
      <c r="M203" s="18" t="s">
        <v>39</v>
      </c>
    </row>
    <row r="204" spans="1:13" x14ac:dyDescent="0.25">
      <c r="H204" s="18" t="s">
        <v>48</v>
      </c>
      <c r="I204" s="3">
        <v>2017</v>
      </c>
      <c r="J204" s="13">
        <f t="shared" si="38"/>
        <v>42948</v>
      </c>
      <c r="K204" s="14">
        <f t="shared" si="36"/>
        <v>42948</v>
      </c>
      <c r="L204" s="15">
        <f t="shared" si="37"/>
        <v>42948</v>
      </c>
      <c r="M204" s="18" t="s">
        <v>39</v>
      </c>
    </row>
    <row r="205" spans="1:13" x14ac:dyDescent="0.25">
      <c r="H205" s="18" t="s">
        <v>48</v>
      </c>
      <c r="I205" s="3">
        <v>2018</v>
      </c>
      <c r="J205" s="13">
        <f t="shared" si="38"/>
        <v>43313</v>
      </c>
      <c r="K205" s="14">
        <f t="shared" si="36"/>
        <v>43313</v>
      </c>
      <c r="L205" s="15">
        <f t="shared" si="37"/>
        <v>43313</v>
      </c>
      <c r="M205" s="18" t="s">
        <v>39</v>
      </c>
    </row>
    <row r="206" spans="1:13" x14ac:dyDescent="0.25">
      <c r="H206" s="18" t="s">
        <v>48</v>
      </c>
      <c r="I206" s="3">
        <v>2019</v>
      </c>
      <c r="J206" s="13">
        <f t="shared" si="38"/>
        <v>43678</v>
      </c>
      <c r="K206" s="14">
        <f t="shared" si="36"/>
        <v>43678</v>
      </c>
      <c r="L206" s="15">
        <f t="shared" si="37"/>
        <v>43678</v>
      </c>
      <c r="M206" s="18" t="s">
        <v>39</v>
      </c>
    </row>
    <row r="207" spans="1:13" x14ac:dyDescent="0.25">
      <c r="H207" s="18" t="s">
        <v>48</v>
      </c>
      <c r="I207" s="3">
        <v>2020</v>
      </c>
      <c r="J207" s="13">
        <f t="shared" si="38"/>
        <v>44044</v>
      </c>
      <c r="K207" s="14">
        <f t="shared" si="36"/>
        <v>44044</v>
      </c>
      <c r="L207" s="15">
        <f t="shared" si="37"/>
        <v>44044</v>
      </c>
      <c r="M207" s="18" t="s">
        <v>39</v>
      </c>
    </row>
    <row r="208" spans="1:13" x14ac:dyDescent="0.25">
      <c r="H208" s="18" t="s">
        <v>48</v>
      </c>
      <c r="I208" s="3">
        <v>2021</v>
      </c>
      <c r="J208" s="13">
        <f t="shared" si="38"/>
        <v>44409</v>
      </c>
      <c r="K208" s="14">
        <f t="shared" si="36"/>
        <v>44409</v>
      </c>
      <c r="L208" s="15">
        <f t="shared" si="37"/>
        <v>44409</v>
      </c>
      <c r="M208" s="18" t="s">
        <v>39</v>
      </c>
    </row>
    <row r="209" spans="8:13" x14ac:dyDescent="0.25">
      <c r="H209" s="18" t="s">
        <v>48</v>
      </c>
      <c r="I209" s="3">
        <v>2022</v>
      </c>
      <c r="J209" s="13">
        <f t="shared" si="38"/>
        <v>44774</v>
      </c>
      <c r="K209" s="14">
        <f t="shared" si="36"/>
        <v>44774</v>
      </c>
      <c r="L209" s="15">
        <f t="shared" si="37"/>
        <v>44774</v>
      </c>
      <c r="M209" s="18" t="s">
        <v>39</v>
      </c>
    </row>
    <row r="210" spans="8:13" x14ac:dyDescent="0.25">
      <c r="H210" s="18" t="s">
        <v>48</v>
      </c>
      <c r="I210" s="3">
        <v>2023</v>
      </c>
      <c r="J210" s="13">
        <f t="shared" si="38"/>
        <v>45139</v>
      </c>
      <c r="K210" s="14">
        <f t="shared" si="36"/>
        <v>45139</v>
      </c>
      <c r="L210" s="15">
        <f t="shared" si="37"/>
        <v>45139</v>
      </c>
      <c r="M210" s="18" t="s">
        <v>39</v>
      </c>
    </row>
    <row r="211" spans="8:13" x14ac:dyDescent="0.25">
      <c r="H211" s="18" t="s">
        <v>48</v>
      </c>
      <c r="I211" s="3">
        <v>2024</v>
      </c>
      <c r="J211" s="13">
        <f t="shared" si="38"/>
        <v>45505</v>
      </c>
      <c r="K211" s="14">
        <f t="shared" si="36"/>
        <v>45505</v>
      </c>
      <c r="L211" s="15">
        <f t="shared" si="37"/>
        <v>45505</v>
      </c>
      <c r="M211" s="18" t="s">
        <v>39</v>
      </c>
    </row>
    <row r="212" spans="8:13" x14ac:dyDescent="0.25">
      <c r="H212" s="18" t="s">
        <v>48</v>
      </c>
      <c r="I212" s="3">
        <v>2025</v>
      </c>
      <c r="J212" s="13">
        <f t="shared" si="38"/>
        <v>45870</v>
      </c>
      <c r="K212" s="14">
        <f t="shared" si="36"/>
        <v>45870</v>
      </c>
      <c r="L212" s="15">
        <f t="shared" si="37"/>
        <v>45870</v>
      </c>
      <c r="M212" s="18" t="s">
        <v>39</v>
      </c>
    </row>
    <row r="213" spans="8:13" x14ac:dyDescent="0.25">
      <c r="H213" s="18" t="s">
        <v>48</v>
      </c>
      <c r="I213" s="3">
        <v>2026</v>
      </c>
      <c r="J213" s="13">
        <f t="shared" si="38"/>
        <v>46235</v>
      </c>
      <c r="K213" s="14">
        <f t="shared" si="36"/>
        <v>46235</v>
      </c>
      <c r="L213" s="15">
        <f t="shared" si="37"/>
        <v>46235</v>
      </c>
      <c r="M213" s="18" t="s">
        <v>39</v>
      </c>
    </row>
    <row r="214" spans="8:13" x14ac:dyDescent="0.25">
      <c r="H214" s="18" t="s">
        <v>48</v>
      </c>
      <c r="I214" s="3">
        <v>2027</v>
      </c>
      <c r="J214" s="13">
        <f t="shared" si="38"/>
        <v>46600</v>
      </c>
      <c r="K214" s="14">
        <f t="shared" si="36"/>
        <v>46600</v>
      </c>
      <c r="L214" s="15">
        <f t="shared" si="37"/>
        <v>46600</v>
      </c>
      <c r="M214" s="18" t="s">
        <v>39</v>
      </c>
    </row>
    <row r="215" spans="8:13" x14ac:dyDescent="0.25">
      <c r="H215" s="18" t="s">
        <v>48</v>
      </c>
      <c r="I215" s="3">
        <v>2028</v>
      </c>
      <c r="J215" s="13">
        <f t="shared" si="38"/>
        <v>46966</v>
      </c>
      <c r="K215" s="14">
        <f t="shared" si="36"/>
        <v>46966</v>
      </c>
      <c r="L215" s="15">
        <f t="shared" si="37"/>
        <v>46966</v>
      </c>
      <c r="M215" s="18" t="s">
        <v>39</v>
      </c>
    </row>
    <row r="216" spans="8:13" x14ac:dyDescent="0.25">
      <c r="H216" s="18" t="s">
        <v>48</v>
      </c>
      <c r="I216" s="3">
        <v>2029</v>
      </c>
      <c r="J216" s="13">
        <f t="shared" si="38"/>
        <v>47331</v>
      </c>
      <c r="K216" s="14">
        <f t="shared" si="36"/>
        <v>47331</v>
      </c>
      <c r="L216" s="15">
        <f t="shared" si="37"/>
        <v>47331</v>
      </c>
      <c r="M216" s="18" t="s">
        <v>39</v>
      </c>
    </row>
    <row r="217" spans="8:13" x14ac:dyDescent="0.25">
      <c r="H217" s="18" t="s">
        <v>48</v>
      </c>
      <c r="I217" s="3">
        <v>2030</v>
      </c>
      <c r="J217" s="13">
        <f t="shared" si="38"/>
        <v>47696</v>
      </c>
      <c r="K217" s="14">
        <f t="shared" si="36"/>
        <v>47696</v>
      </c>
      <c r="L217" s="15">
        <f t="shared" si="37"/>
        <v>47696</v>
      </c>
      <c r="M217" s="18" t="s">
        <v>39</v>
      </c>
    </row>
    <row r="218" spans="8:13" x14ac:dyDescent="0.25">
      <c r="H218" s="18" t="s">
        <v>49</v>
      </c>
      <c r="I218" s="3">
        <v>2013</v>
      </c>
      <c r="J218" s="13">
        <f>CONCATENATE("02/08/",$I218)*1</f>
        <v>41488</v>
      </c>
      <c r="K218" s="14">
        <f t="shared" si="36"/>
        <v>41488</v>
      </c>
      <c r="L218" s="15">
        <f t="shared" ref="L218" si="39">J218</f>
        <v>41488</v>
      </c>
      <c r="M218" s="18" t="s">
        <v>39</v>
      </c>
    </row>
    <row r="219" spans="8:13" x14ac:dyDescent="0.25">
      <c r="H219" s="18" t="s">
        <v>49</v>
      </c>
      <c r="I219" s="3">
        <v>2014</v>
      </c>
      <c r="J219" s="13">
        <f t="shared" ref="J219:J235" si="40">CONCATENATE("02/08/",$I219)*1</f>
        <v>41853</v>
      </c>
      <c r="K219" s="14">
        <f t="shared" si="36"/>
        <v>41853</v>
      </c>
      <c r="L219" s="15">
        <f t="shared" ref="L219:L236" si="41">J219</f>
        <v>41853</v>
      </c>
      <c r="M219" s="18" t="s">
        <v>39</v>
      </c>
    </row>
    <row r="220" spans="8:13" x14ac:dyDescent="0.25">
      <c r="H220" s="18" t="s">
        <v>49</v>
      </c>
      <c r="I220" s="3">
        <v>2015</v>
      </c>
      <c r="J220" s="13">
        <f t="shared" si="40"/>
        <v>42218</v>
      </c>
      <c r="K220" s="14">
        <f t="shared" si="36"/>
        <v>42218</v>
      </c>
      <c r="L220" s="15">
        <f t="shared" si="41"/>
        <v>42218</v>
      </c>
      <c r="M220" s="18" t="s">
        <v>39</v>
      </c>
    </row>
    <row r="221" spans="8:13" x14ac:dyDescent="0.25">
      <c r="H221" s="18" t="s">
        <v>49</v>
      </c>
      <c r="I221" s="3">
        <v>2016</v>
      </c>
      <c r="J221" s="13">
        <f t="shared" si="40"/>
        <v>42584</v>
      </c>
      <c r="K221" s="14">
        <f t="shared" si="36"/>
        <v>42584</v>
      </c>
      <c r="L221" s="15">
        <f t="shared" si="41"/>
        <v>42584</v>
      </c>
      <c r="M221" s="18" t="s">
        <v>39</v>
      </c>
    </row>
    <row r="222" spans="8:13" x14ac:dyDescent="0.25">
      <c r="H222" s="18" t="s">
        <v>49</v>
      </c>
      <c r="I222" s="3">
        <v>2017</v>
      </c>
      <c r="J222" s="13">
        <f t="shared" si="40"/>
        <v>42949</v>
      </c>
      <c r="K222" s="14">
        <f t="shared" si="36"/>
        <v>42949</v>
      </c>
      <c r="L222" s="15">
        <f t="shared" si="41"/>
        <v>42949</v>
      </c>
      <c r="M222" s="18" t="s">
        <v>39</v>
      </c>
    </row>
    <row r="223" spans="8:13" x14ac:dyDescent="0.25">
      <c r="H223" s="18" t="s">
        <v>49</v>
      </c>
      <c r="I223" s="3">
        <v>2018</v>
      </c>
      <c r="J223" s="13">
        <f t="shared" si="40"/>
        <v>43314</v>
      </c>
      <c r="K223" s="14">
        <f t="shared" si="36"/>
        <v>43314</v>
      </c>
      <c r="L223" s="15">
        <f t="shared" si="41"/>
        <v>43314</v>
      </c>
      <c r="M223" s="18" t="s">
        <v>39</v>
      </c>
    </row>
    <row r="224" spans="8:13" x14ac:dyDescent="0.25">
      <c r="H224" s="18" t="s">
        <v>49</v>
      </c>
      <c r="I224" s="3">
        <v>2019</v>
      </c>
      <c r="J224" s="13">
        <f t="shared" si="40"/>
        <v>43679</v>
      </c>
      <c r="K224" s="14">
        <f t="shared" si="36"/>
        <v>43679</v>
      </c>
      <c r="L224" s="15">
        <f t="shared" si="41"/>
        <v>43679</v>
      </c>
      <c r="M224" s="18" t="s">
        <v>39</v>
      </c>
    </row>
    <row r="225" spans="8:13" x14ac:dyDescent="0.25">
      <c r="H225" s="18" t="s">
        <v>49</v>
      </c>
      <c r="I225" s="3">
        <v>2020</v>
      </c>
      <c r="J225" s="13">
        <f t="shared" si="40"/>
        <v>44045</v>
      </c>
      <c r="K225" s="14">
        <f t="shared" si="36"/>
        <v>44045</v>
      </c>
      <c r="L225" s="15">
        <f t="shared" si="41"/>
        <v>44045</v>
      </c>
      <c r="M225" s="18" t="s">
        <v>39</v>
      </c>
    </row>
    <row r="226" spans="8:13" x14ac:dyDescent="0.25">
      <c r="H226" s="18" t="s">
        <v>49</v>
      </c>
      <c r="I226" s="3">
        <v>2021</v>
      </c>
      <c r="J226" s="13">
        <f t="shared" si="40"/>
        <v>44410</v>
      </c>
      <c r="K226" s="14">
        <f t="shared" si="36"/>
        <v>44410</v>
      </c>
      <c r="L226" s="15">
        <f t="shared" si="41"/>
        <v>44410</v>
      </c>
      <c r="M226" s="18" t="s">
        <v>39</v>
      </c>
    </row>
    <row r="227" spans="8:13" x14ac:dyDescent="0.25">
      <c r="H227" s="18" t="s">
        <v>49</v>
      </c>
      <c r="I227" s="3">
        <v>2022</v>
      </c>
      <c r="J227" s="13">
        <f t="shared" si="40"/>
        <v>44775</v>
      </c>
      <c r="K227" s="14">
        <f t="shared" si="36"/>
        <v>44775</v>
      </c>
      <c r="L227" s="15">
        <f t="shared" si="41"/>
        <v>44775</v>
      </c>
      <c r="M227" s="18" t="s">
        <v>39</v>
      </c>
    </row>
    <row r="228" spans="8:13" x14ac:dyDescent="0.25">
      <c r="H228" s="18" t="s">
        <v>49</v>
      </c>
      <c r="I228" s="3">
        <v>2023</v>
      </c>
      <c r="J228" s="13">
        <f t="shared" si="40"/>
        <v>45140</v>
      </c>
      <c r="K228" s="14">
        <f t="shared" si="36"/>
        <v>45140</v>
      </c>
      <c r="L228" s="15">
        <f t="shared" si="41"/>
        <v>45140</v>
      </c>
      <c r="M228" s="18" t="s">
        <v>39</v>
      </c>
    </row>
    <row r="229" spans="8:13" x14ac:dyDescent="0.25">
      <c r="H229" s="18" t="s">
        <v>49</v>
      </c>
      <c r="I229" s="3">
        <v>2024</v>
      </c>
      <c r="J229" s="13">
        <f t="shared" si="40"/>
        <v>45506</v>
      </c>
      <c r="K229" s="14">
        <f t="shared" si="36"/>
        <v>45506</v>
      </c>
      <c r="L229" s="15">
        <f t="shared" si="41"/>
        <v>45506</v>
      </c>
      <c r="M229" s="18" t="s">
        <v>39</v>
      </c>
    </row>
    <row r="230" spans="8:13" x14ac:dyDescent="0.25">
      <c r="H230" s="18" t="s">
        <v>49</v>
      </c>
      <c r="I230" s="3">
        <v>2025</v>
      </c>
      <c r="J230" s="13">
        <f t="shared" si="40"/>
        <v>45871</v>
      </c>
      <c r="K230" s="14">
        <f t="shared" si="36"/>
        <v>45871</v>
      </c>
      <c r="L230" s="15">
        <f t="shared" si="41"/>
        <v>45871</v>
      </c>
      <c r="M230" s="18" t="s">
        <v>39</v>
      </c>
    </row>
    <row r="231" spans="8:13" x14ac:dyDescent="0.25">
      <c r="H231" s="18" t="s">
        <v>49</v>
      </c>
      <c r="I231" s="3">
        <v>2026</v>
      </c>
      <c r="J231" s="13">
        <f t="shared" si="40"/>
        <v>46236</v>
      </c>
      <c r="K231" s="14">
        <f t="shared" si="36"/>
        <v>46236</v>
      </c>
      <c r="L231" s="15">
        <f t="shared" si="41"/>
        <v>46236</v>
      </c>
      <c r="M231" s="18" t="s">
        <v>39</v>
      </c>
    </row>
    <row r="232" spans="8:13" x14ac:dyDescent="0.25">
      <c r="H232" s="18" t="s">
        <v>49</v>
      </c>
      <c r="I232" s="3">
        <v>2027</v>
      </c>
      <c r="J232" s="13">
        <f t="shared" si="40"/>
        <v>46601</v>
      </c>
      <c r="K232" s="14">
        <f t="shared" si="36"/>
        <v>46601</v>
      </c>
      <c r="L232" s="15">
        <f t="shared" si="41"/>
        <v>46601</v>
      </c>
      <c r="M232" s="18" t="s">
        <v>39</v>
      </c>
    </row>
    <row r="233" spans="8:13" x14ac:dyDescent="0.25">
      <c r="H233" s="18" t="s">
        <v>49</v>
      </c>
      <c r="I233" s="3">
        <v>2028</v>
      </c>
      <c r="J233" s="13">
        <f t="shared" si="40"/>
        <v>46967</v>
      </c>
      <c r="K233" s="14">
        <f t="shared" si="36"/>
        <v>46967</v>
      </c>
      <c r="L233" s="15">
        <f t="shared" si="41"/>
        <v>46967</v>
      </c>
      <c r="M233" s="18" t="s">
        <v>39</v>
      </c>
    </row>
    <row r="234" spans="8:13" x14ac:dyDescent="0.25">
      <c r="H234" s="18" t="s">
        <v>49</v>
      </c>
      <c r="I234" s="3">
        <v>2029</v>
      </c>
      <c r="J234" s="13">
        <f t="shared" si="40"/>
        <v>47332</v>
      </c>
      <c r="K234" s="14">
        <f t="shared" si="36"/>
        <v>47332</v>
      </c>
      <c r="L234" s="15">
        <f t="shared" si="41"/>
        <v>47332</v>
      </c>
      <c r="M234" s="18" t="s">
        <v>39</v>
      </c>
    </row>
    <row r="235" spans="8:13" x14ac:dyDescent="0.25">
      <c r="H235" s="18" t="s">
        <v>49</v>
      </c>
      <c r="I235" s="3">
        <v>2030</v>
      </c>
      <c r="J235" s="13">
        <f t="shared" si="40"/>
        <v>47697</v>
      </c>
      <c r="K235" s="14">
        <f t="shared" si="36"/>
        <v>47697</v>
      </c>
      <c r="L235" s="15">
        <f t="shared" si="41"/>
        <v>47697</v>
      </c>
      <c r="M235" s="18" t="s">
        <v>39</v>
      </c>
    </row>
    <row r="236" spans="8:13" x14ac:dyDescent="0.25">
      <c r="H236" s="18" t="s">
        <v>50</v>
      </c>
      <c r="I236" s="3">
        <v>2013</v>
      </c>
      <c r="J236" s="13">
        <f>CONCATENATE("03/08/",$I236)*1</f>
        <v>41489</v>
      </c>
      <c r="K236" s="14">
        <f t="shared" si="36"/>
        <v>41489</v>
      </c>
      <c r="L236" s="15">
        <f t="shared" si="41"/>
        <v>41489</v>
      </c>
      <c r="M236" s="18" t="s">
        <v>39</v>
      </c>
    </row>
    <row r="237" spans="8:13" x14ac:dyDescent="0.25">
      <c r="H237" s="18" t="s">
        <v>50</v>
      </c>
      <c r="I237" s="3">
        <v>2014</v>
      </c>
      <c r="J237" s="13">
        <f t="shared" ref="J237:J253" si="42">CONCATENATE("03/08/",$I237)*1</f>
        <v>41854</v>
      </c>
      <c r="K237" s="14">
        <f t="shared" si="36"/>
        <v>41854</v>
      </c>
      <c r="L237" s="15">
        <f t="shared" ref="L237:L254" si="43">J237</f>
        <v>41854</v>
      </c>
      <c r="M237" s="18" t="s">
        <v>39</v>
      </c>
    </row>
    <row r="238" spans="8:13" x14ac:dyDescent="0.25">
      <c r="H238" s="18" t="s">
        <v>50</v>
      </c>
      <c r="I238" s="3">
        <v>2015</v>
      </c>
      <c r="J238" s="13">
        <f t="shared" si="42"/>
        <v>42219</v>
      </c>
      <c r="K238" s="14">
        <f t="shared" si="36"/>
        <v>42219</v>
      </c>
      <c r="L238" s="15">
        <f t="shared" si="43"/>
        <v>42219</v>
      </c>
      <c r="M238" s="18" t="s">
        <v>39</v>
      </c>
    </row>
    <row r="239" spans="8:13" x14ac:dyDescent="0.25">
      <c r="H239" s="18" t="s">
        <v>50</v>
      </c>
      <c r="I239" s="3">
        <v>2016</v>
      </c>
      <c r="J239" s="13">
        <f t="shared" si="42"/>
        <v>42585</v>
      </c>
      <c r="K239" s="14">
        <f t="shared" si="36"/>
        <v>42585</v>
      </c>
      <c r="L239" s="15">
        <f t="shared" si="43"/>
        <v>42585</v>
      </c>
      <c r="M239" s="18" t="s">
        <v>39</v>
      </c>
    </row>
    <row r="240" spans="8:13" x14ac:dyDescent="0.25">
      <c r="H240" s="18" t="s">
        <v>50</v>
      </c>
      <c r="I240" s="3">
        <v>2017</v>
      </c>
      <c r="J240" s="13">
        <f t="shared" si="42"/>
        <v>42950</v>
      </c>
      <c r="K240" s="14">
        <f t="shared" si="36"/>
        <v>42950</v>
      </c>
      <c r="L240" s="15">
        <f t="shared" si="43"/>
        <v>42950</v>
      </c>
      <c r="M240" s="18" t="s">
        <v>39</v>
      </c>
    </row>
    <row r="241" spans="8:13" x14ac:dyDescent="0.25">
      <c r="H241" s="18" t="s">
        <v>50</v>
      </c>
      <c r="I241" s="3">
        <v>2018</v>
      </c>
      <c r="J241" s="13">
        <f t="shared" si="42"/>
        <v>43315</v>
      </c>
      <c r="K241" s="14">
        <f t="shared" si="36"/>
        <v>43315</v>
      </c>
      <c r="L241" s="15">
        <f t="shared" si="43"/>
        <v>43315</v>
      </c>
      <c r="M241" s="18" t="s">
        <v>39</v>
      </c>
    </row>
    <row r="242" spans="8:13" x14ac:dyDescent="0.25">
      <c r="H242" s="18" t="s">
        <v>50</v>
      </c>
      <c r="I242" s="3">
        <v>2019</v>
      </c>
      <c r="J242" s="13">
        <f t="shared" si="42"/>
        <v>43680</v>
      </c>
      <c r="K242" s="14">
        <f t="shared" si="36"/>
        <v>43680</v>
      </c>
      <c r="L242" s="15">
        <f t="shared" si="43"/>
        <v>43680</v>
      </c>
      <c r="M242" s="18" t="s">
        <v>39</v>
      </c>
    </row>
    <row r="243" spans="8:13" x14ac:dyDescent="0.25">
      <c r="H243" s="18" t="s">
        <v>50</v>
      </c>
      <c r="I243" s="3">
        <v>2020</v>
      </c>
      <c r="J243" s="13">
        <f t="shared" si="42"/>
        <v>44046</v>
      </c>
      <c r="K243" s="14">
        <f t="shared" si="36"/>
        <v>44046</v>
      </c>
      <c r="L243" s="15">
        <f t="shared" si="43"/>
        <v>44046</v>
      </c>
      <c r="M243" s="18" t="s">
        <v>39</v>
      </c>
    </row>
    <row r="244" spans="8:13" x14ac:dyDescent="0.25">
      <c r="H244" s="18" t="s">
        <v>50</v>
      </c>
      <c r="I244" s="3">
        <v>2021</v>
      </c>
      <c r="J244" s="13">
        <f t="shared" si="42"/>
        <v>44411</v>
      </c>
      <c r="K244" s="14">
        <f t="shared" si="36"/>
        <v>44411</v>
      </c>
      <c r="L244" s="15">
        <f t="shared" si="43"/>
        <v>44411</v>
      </c>
      <c r="M244" s="18" t="s">
        <v>39</v>
      </c>
    </row>
    <row r="245" spans="8:13" x14ac:dyDescent="0.25">
      <c r="H245" s="18" t="s">
        <v>50</v>
      </c>
      <c r="I245" s="3">
        <v>2022</v>
      </c>
      <c r="J245" s="13">
        <f t="shared" si="42"/>
        <v>44776</v>
      </c>
      <c r="K245" s="14">
        <f t="shared" si="36"/>
        <v>44776</v>
      </c>
      <c r="L245" s="15">
        <f t="shared" si="43"/>
        <v>44776</v>
      </c>
      <c r="M245" s="18" t="s">
        <v>39</v>
      </c>
    </row>
    <row r="246" spans="8:13" x14ac:dyDescent="0.25">
      <c r="H246" s="18" t="s">
        <v>50</v>
      </c>
      <c r="I246" s="3">
        <v>2023</v>
      </c>
      <c r="J246" s="13">
        <f t="shared" si="42"/>
        <v>45141</v>
      </c>
      <c r="K246" s="14">
        <f t="shared" si="36"/>
        <v>45141</v>
      </c>
      <c r="L246" s="15">
        <f t="shared" si="43"/>
        <v>45141</v>
      </c>
      <c r="M246" s="18" t="s">
        <v>39</v>
      </c>
    </row>
    <row r="247" spans="8:13" x14ac:dyDescent="0.25">
      <c r="H247" s="18" t="s">
        <v>50</v>
      </c>
      <c r="I247" s="3">
        <v>2024</v>
      </c>
      <c r="J247" s="13">
        <f t="shared" si="42"/>
        <v>45507</v>
      </c>
      <c r="K247" s="14">
        <f t="shared" si="36"/>
        <v>45507</v>
      </c>
      <c r="L247" s="15">
        <f t="shared" si="43"/>
        <v>45507</v>
      </c>
      <c r="M247" s="18" t="s">
        <v>39</v>
      </c>
    </row>
    <row r="248" spans="8:13" x14ac:dyDescent="0.25">
      <c r="H248" s="18" t="s">
        <v>50</v>
      </c>
      <c r="I248" s="3">
        <v>2025</v>
      </c>
      <c r="J248" s="13">
        <f t="shared" si="42"/>
        <v>45872</v>
      </c>
      <c r="K248" s="14">
        <f t="shared" si="36"/>
        <v>45872</v>
      </c>
      <c r="L248" s="15">
        <f t="shared" si="43"/>
        <v>45872</v>
      </c>
      <c r="M248" s="18" t="s">
        <v>39</v>
      </c>
    </row>
    <row r="249" spans="8:13" x14ac:dyDescent="0.25">
      <c r="H249" s="18" t="s">
        <v>50</v>
      </c>
      <c r="I249" s="3">
        <v>2026</v>
      </c>
      <c r="J249" s="13">
        <f t="shared" si="42"/>
        <v>46237</v>
      </c>
      <c r="K249" s="14">
        <f t="shared" si="36"/>
        <v>46237</v>
      </c>
      <c r="L249" s="15">
        <f t="shared" si="43"/>
        <v>46237</v>
      </c>
      <c r="M249" s="18" t="s">
        <v>39</v>
      </c>
    </row>
    <row r="250" spans="8:13" x14ac:dyDescent="0.25">
      <c r="H250" s="18" t="s">
        <v>50</v>
      </c>
      <c r="I250" s="3">
        <v>2027</v>
      </c>
      <c r="J250" s="13">
        <f t="shared" si="42"/>
        <v>46602</v>
      </c>
      <c r="K250" s="14">
        <f t="shared" si="36"/>
        <v>46602</v>
      </c>
      <c r="L250" s="15">
        <f t="shared" si="43"/>
        <v>46602</v>
      </c>
      <c r="M250" s="18" t="s">
        <v>39</v>
      </c>
    </row>
    <row r="251" spans="8:13" x14ac:dyDescent="0.25">
      <c r="H251" s="18" t="s">
        <v>50</v>
      </c>
      <c r="I251" s="3">
        <v>2028</v>
      </c>
      <c r="J251" s="13">
        <f t="shared" si="42"/>
        <v>46968</v>
      </c>
      <c r="K251" s="14">
        <f t="shared" si="36"/>
        <v>46968</v>
      </c>
      <c r="L251" s="15">
        <f t="shared" si="43"/>
        <v>46968</v>
      </c>
      <c r="M251" s="18" t="s">
        <v>39</v>
      </c>
    </row>
    <row r="252" spans="8:13" x14ac:dyDescent="0.25">
      <c r="H252" s="18" t="s">
        <v>50</v>
      </c>
      <c r="I252" s="3">
        <v>2029</v>
      </c>
      <c r="J252" s="13">
        <f t="shared" si="42"/>
        <v>47333</v>
      </c>
      <c r="K252" s="14">
        <f t="shared" si="36"/>
        <v>47333</v>
      </c>
      <c r="L252" s="15">
        <f t="shared" si="43"/>
        <v>47333</v>
      </c>
      <c r="M252" s="18" t="s">
        <v>39</v>
      </c>
    </row>
    <row r="253" spans="8:13" x14ac:dyDescent="0.25">
      <c r="H253" s="18" t="s">
        <v>50</v>
      </c>
      <c r="I253" s="3">
        <v>2030</v>
      </c>
      <c r="J253" s="13">
        <f t="shared" si="42"/>
        <v>47698</v>
      </c>
      <c r="K253" s="14">
        <f t="shared" si="36"/>
        <v>47698</v>
      </c>
      <c r="L253" s="15">
        <f t="shared" si="43"/>
        <v>47698</v>
      </c>
      <c r="M253" s="18" t="s">
        <v>39</v>
      </c>
    </row>
    <row r="254" spans="8:13" x14ac:dyDescent="0.25">
      <c r="H254" s="18" t="s">
        <v>51</v>
      </c>
      <c r="I254" s="3">
        <v>2013</v>
      </c>
      <c r="J254" s="13">
        <f>CONCATENATE("04/08/",$I254)*1</f>
        <v>41490</v>
      </c>
      <c r="K254" s="14">
        <f t="shared" si="36"/>
        <v>41490</v>
      </c>
      <c r="L254" s="15">
        <f t="shared" si="43"/>
        <v>41490</v>
      </c>
      <c r="M254" s="18" t="s">
        <v>39</v>
      </c>
    </row>
    <row r="255" spans="8:13" x14ac:dyDescent="0.25">
      <c r="H255" s="18" t="s">
        <v>51</v>
      </c>
      <c r="I255" s="3">
        <v>2014</v>
      </c>
      <c r="J255" s="13">
        <f t="shared" ref="J255:J271" si="44">CONCATENATE("04/08/",$I255)*1</f>
        <v>41855</v>
      </c>
      <c r="K255" s="14">
        <f t="shared" si="36"/>
        <v>41855</v>
      </c>
      <c r="L255" s="15">
        <f t="shared" ref="L255:L272" si="45">J255</f>
        <v>41855</v>
      </c>
      <c r="M255" s="18" t="s">
        <v>39</v>
      </c>
    </row>
    <row r="256" spans="8:13" x14ac:dyDescent="0.25">
      <c r="H256" s="18" t="s">
        <v>51</v>
      </c>
      <c r="I256" s="3">
        <v>2015</v>
      </c>
      <c r="J256" s="13">
        <f t="shared" si="44"/>
        <v>42220</v>
      </c>
      <c r="K256" s="14">
        <f t="shared" si="36"/>
        <v>42220</v>
      </c>
      <c r="L256" s="15">
        <f t="shared" si="45"/>
        <v>42220</v>
      </c>
      <c r="M256" s="18" t="s">
        <v>39</v>
      </c>
    </row>
    <row r="257" spans="8:13" x14ac:dyDescent="0.25">
      <c r="H257" s="18" t="s">
        <v>51</v>
      </c>
      <c r="I257" s="3">
        <v>2016</v>
      </c>
      <c r="J257" s="13">
        <f t="shared" si="44"/>
        <v>42586</v>
      </c>
      <c r="K257" s="14">
        <f t="shared" si="36"/>
        <v>42586</v>
      </c>
      <c r="L257" s="15">
        <f t="shared" si="45"/>
        <v>42586</v>
      </c>
      <c r="M257" s="18" t="s">
        <v>39</v>
      </c>
    </row>
    <row r="258" spans="8:13" x14ac:dyDescent="0.25">
      <c r="H258" s="18" t="s">
        <v>51</v>
      </c>
      <c r="I258" s="3">
        <v>2017</v>
      </c>
      <c r="J258" s="13">
        <f t="shared" si="44"/>
        <v>42951</v>
      </c>
      <c r="K258" s="14">
        <f t="shared" si="36"/>
        <v>42951</v>
      </c>
      <c r="L258" s="15">
        <f t="shared" si="45"/>
        <v>42951</v>
      </c>
      <c r="M258" s="18" t="s">
        <v>39</v>
      </c>
    </row>
    <row r="259" spans="8:13" x14ac:dyDescent="0.25">
      <c r="H259" s="18" t="s">
        <v>51</v>
      </c>
      <c r="I259" s="3">
        <v>2018</v>
      </c>
      <c r="J259" s="13">
        <f t="shared" si="44"/>
        <v>43316</v>
      </c>
      <c r="K259" s="14">
        <f t="shared" si="36"/>
        <v>43316</v>
      </c>
      <c r="L259" s="15">
        <f t="shared" si="45"/>
        <v>43316</v>
      </c>
      <c r="M259" s="18" t="s">
        <v>39</v>
      </c>
    </row>
    <row r="260" spans="8:13" x14ac:dyDescent="0.25">
      <c r="H260" s="18" t="s">
        <v>51</v>
      </c>
      <c r="I260" s="3">
        <v>2019</v>
      </c>
      <c r="J260" s="13">
        <f t="shared" si="44"/>
        <v>43681</v>
      </c>
      <c r="K260" s="14">
        <f t="shared" si="36"/>
        <v>43681</v>
      </c>
      <c r="L260" s="15">
        <f t="shared" si="45"/>
        <v>43681</v>
      </c>
      <c r="M260" s="18" t="s">
        <v>39</v>
      </c>
    </row>
    <row r="261" spans="8:13" x14ac:dyDescent="0.25">
      <c r="H261" s="18" t="s">
        <v>51</v>
      </c>
      <c r="I261" s="3">
        <v>2020</v>
      </c>
      <c r="J261" s="13">
        <f t="shared" si="44"/>
        <v>44047</v>
      </c>
      <c r="K261" s="14">
        <f t="shared" si="36"/>
        <v>44047</v>
      </c>
      <c r="L261" s="15">
        <f t="shared" si="45"/>
        <v>44047</v>
      </c>
      <c r="M261" s="18" t="s">
        <v>39</v>
      </c>
    </row>
    <row r="262" spans="8:13" x14ac:dyDescent="0.25">
      <c r="H262" s="18" t="s">
        <v>51</v>
      </c>
      <c r="I262" s="3">
        <v>2021</v>
      </c>
      <c r="J262" s="13">
        <f t="shared" si="44"/>
        <v>44412</v>
      </c>
      <c r="K262" s="14">
        <f t="shared" si="36"/>
        <v>44412</v>
      </c>
      <c r="L262" s="15">
        <f t="shared" si="45"/>
        <v>44412</v>
      </c>
      <c r="M262" s="18" t="s">
        <v>39</v>
      </c>
    </row>
    <row r="263" spans="8:13" x14ac:dyDescent="0.25">
      <c r="H263" s="18" t="s">
        <v>51</v>
      </c>
      <c r="I263" s="3">
        <v>2022</v>
      </c>
      <c r="J263" s="13">
        <f t="shared" si="44"/>
        <v>44777</v>
      </c>
      <c r="K263" s="14">
        <f t="shared" si="36"/>
        <v>44777</v>
      </c>
      <c r="L263" s="15">
        <f t="shared" si="45"/>
        <v>44777</v>
      </c>
      <c r="M263" s="18" t="s">
        <v>39</v>
      </c>
    </row>
    <row r="264" spans="8:13" x14ac:dyDescent="0.25">
      <c r="H264" s="18" t="s">
        <v>51</v>
      </c>
      <c r="I264" s="3">
        <v>2023</v>
      </c>
      <c r="J264" s="13">
        <f t="shared" si="44"/>
        <v>45142</v>
      </c>
      <c r="K264" s="14">
        <f t="shared" ref="K264:K327" si="46">J264</f>
        <v>45142</v>
      </c>
      <c r="L264" s="15">
        <f t="shared" si="45"/>
        <v>45142</v>
      </c>
      <c r="M264" s="18" t="s">
        <v>39</v>
      </c>
    </row>
    <row r="265" spans="8:13" x14ac:dyDescent="0.25">
      <c r="H265" s="18" t="s">
        <v>51</v>
      </c>
      <c r="I265" s="3">
        <v>2024</v>
      </c>
      <c r="J265" s="13">
        <f t="shared" si="44"/>
        <v>45508</v>
      </c>
      <c r="K265" s="14">
        <f t="shared" si="46"/>
        <v>45508</v>
      </c>
      <c r="L265" s="15">
        <f t="shared" si="45"/>
        <v>45508</v>
      </c>
      <c r="M265" s="18" t="s">
        <v>39</v>
      </c>
    </row>
    <row r="266" spans="8:13" x14ac:dyDescent="0.25">
      <c r="H266" s="18" t="s">
        <v>51</v>
      </c>
      <c r="I266" s="3">
        <v>2025</v>
      </c>
      <c r="J266" s="13">
        <f t="shared" si="44"/>
        <v>45873</v>
      </c>
      <c r="K266" s="14">
        <f t="shared" si="46"/>
        <v>45873</v>
      </c>
      <c r="L266" s="15">
        <f t="shared" si="45"/>
        <v>45873</v>
      </c>
      <c r="M266" s="18" t="s">
        <v>39</v>
      </c>
    </row>
    <row r="267" spans="8:13" x14ac:dyDescent="0.25">
      <c r="H267" s="18" t="s">
        <v>51</v>
      </c>
      <c r="I267" s="3">
        <v>2026</v>
      </c>
      <c r="J267" s="13">
        <f t="shared" si="44"/>
        <v>46238</v>
      </c>
      <c r="K267" s="14">
        <f t="shared" si="46"/>
        <v>46238</v>
      </c>
      <c r="L267" s="15">
        <f t="shared" si="45"/>
        <v>46238</v>
      </c>
      <c r="M267" s="18" t="s">
        <v>39</v>
      </c>
    </row>
    <row r="268" spans="8:13" x14ac:dyDescent="0.25">
      <c r="H268" s="18" t="s">
        <v>51</v>
      </c>
      <c r="I268" s="3">
        <v>2027</v>
      </c>
      <c r="J268" s="13">
        <f t="shared" si="44"/>
        <v>46603</v>
      </c>
      <c r="K268" s="14">
        <f t="shared" si="46"/>
        <v>46603</v>
      </c>
      <c r="L268" s="15">
        <f t="shared" si="45"/>
        <v>46603</v>
      </c>
      <c r="M268" s="18" t="s">
        <v>39</v>
      </c>
    </row>
    <row r="269" spans="8:13" x14ac:dyDescent="0.25">
      <c r="H269" s="18" t="s">
        <v>51</v>
      </c>
      <c r="I269" s="3">
        <v>2028</v>
      </c>
      <c r="J269" s="13">
        <f t="shared" si="44"/>
        <v>46969</v>
      </c>
      <c r="K269" s="14">
        <f t="shared" si="46"/>
        <v>46969</v>
      </c>
      <c r="L269" s="15">
        <f t="shared" si="45"/>
        <v>46969</v>
      </c>
      <c r="M269" s="18" t="s">
        <v>39</v>
      </c>
    </row>
    <row r="270" spans="8:13" x14ac:dyDescent="0.25">
      <c r="H270" s="18" t="s">
        <v>51</v>
      </c>
      <c r="I270" s="3">
        <v>2029</v>
      </c>
      <c r="J270" s="13">
        <f t="shared" si="44"/>
        <v>47334</v>
      </c>
      <c r="K270" s="14">
        <f t="shared" si="46"/>
        <v>47334</v>
      </c>
      <c r="L270" s="15">
        <f t="shared" si="45"/>
        <v>47334</v>
      </c>
      <c r="M270" s="18" t="s">
        <v>39</v>
      </c>
    </row>
    <row r="271" spans="8:13" x14ac:dyDescent="0.25">
      <c r="H271" s="18" t="s">
        <v>51</v>
      </c>
      <c r="I271" s="3">
        <v>2030</v>
      </c>
      <c r="J271" s="13">
        <f t="shared" si="44"/>
        <v>47699</v>
      </c>
      <c r="K271" s="14">
        <f t="shared" si="46"/>
        <v>47699</v>
      </c>
      <c r="L271" s="15">
        <f t="shared" si="45"/>
        <v>47699</v>
      </c>
      <c r="M271" s="18" t="s">
        <v>39</v>
      </c>
    </row>
    <row r="272" spans="8:13" x14ac:dyDescent="0.25">
      <c r="H272" s="18" t="s">
        <v>52</v>
      </c>
      <c r="I272" s="3">
        <v>2013</v>
      </c>
      <c r="J272" s="13">
        <f>CONCATENATE("05/08/",$I272)*1</f>
        <v>41491</v>
      </c>
      <c r="K272" s="14">
        <f t="shared" si="46"/>
        <v>41491</v>
      </c>
      <c r="L272" s="15">
        <f t="shared" si="45"/>
        <v>41491</v>
      </c>
      <c r="M272" s="18" t="s">
        <v>39</v>
      </c>
    </row>
    <row r="273" spans="8:13" x14ac:dyDescent="0.25">
      <c r="H273" s="18" t="s">
        <v>52</v>
      </c>
      <c r="I273" s="3">
        <v>2014</v>
      </c>
      <c r="J273" s="13">
        <f t="shared" ref="J273:J289" si="47">CONCATENATE("05/08/",$I273)*1</f>
        <v>41856</v>
      </c>
      <c r="K273" s="14">
        <f t="shared" si="46"/>
        <v>41856</v>
      </c>
      <c r="L273" s="15">
        <f t="shared" ref="L273:L290" si="48">J273</f>
        <v>41856</v>
      </c>
      <c r="M273" s="18" t="s">
        <v>39</v>
      </c>
    </row>
    <row r="274" spans="8:13" x14ac:dyDescent="0.25">
      <c r="H274" s="18" t="s">
        <v>52</v>
      </c>
      <c r="I274" s="3">
        <v>2015</v>
      </c>
      <c r="J274" s="13">
        <f t="shared" si="47"/>
        <v>42221</v>
      </c>
      <c r="K274" s="14">
        <f t="shared" si="46"/>
        <v>42221</v>
      </c>
      <c r="L274" s="15">
        <f t="shared" si="48"/>
        <v>42221</v>
      </c>
      <c r="M274" s="18" t="s">
        <v>39</v>
      </c>
    </row>
    <row r="275" spans="8:13" x14ac:dyDescent="0.25">
      <c r="H275" s="18" t="s">
        <v>52</v>
      </c>
      <c r="I275" s="3">
        <v>2016</v>
      </c>
      <c r="J275" s="13">
        <f t="shared" si="47"/>
        <v>42587</v>
      </c>
      <c r="K275" s="14">
        <f t="shared" si="46"/>
        <v>42587</v>
      </c>
      <c r="L275" s="15">
        <f t="shared" si="48"/>
        <v>42587</v>
      </c>
      <c r="M275" s="18" t="s">
        <v>39</v>
      </c>
    </row>
    <row r="276" spans="8:13" x14ac:dyDescent="0.25">
      <c r="H276" s="18" t="s">
        <v>52</v>
      </c>
      <c r="I276" s="3">
        <v>2017</v>
      </c>
      <c r="J276" s="13">
        <f t="shared" si="47"/>
        <v>42952</v>
      </c>
      <c r="K276" s="14">
        <f t="shared" si="46"/>
        <v>42952</v>
      </c>
      <c r="L276" s="15">
        <f t="shared" si="48"/>
        <v>42952</v>
      </c>
      <c r="M276" s="18" t="s">
        <v>39</v>
      </c>
    </row>
    <row r="277" spans="8:13" x14ac:dyDescent="0.25">
      <c r="H277" s="18" t="s">
        <v>52</v>
      </c>
      <c r="I277" s="3">
        <v>2018</v>
      </c>
      <c r="J277" s="13">
        <f t="shared" si="47"/>
        <v>43317</v>
      </c>
      <c r="K277" s="14">
        <f t="shared" si="46"/>
        <v>43317</v>
      </c>
      <c r="L277" s="15">
        <f t="shared" si="48"/>
        <v>43317</v>
      </c>
      <c r="M277" s="18" t="s">
        <v>39</v>
      </c>
    </row>
    <row r="278" spans="8:13" x14ac:dyDescent="0.25">
      <c r="H278" s="18" t="s">
        <v>52</v>
      </c>
      <c r="I278" s="3">
        <v>2019</v>
      </c>
      <c r="J278" s="13">
        <f t="shared" si="47"/>
        <v>43682</v>
      </c>
      <c r="K278" s="14">
        <f t="shared" si="46"/>
        <v>43682</v>
      </c>
      <c r="L278" s="15">
        <f t="shared" si="48"/>
        <v>43682</v>
      </c>
      <c r="M278" s="18" t="s">
        <v>39</v>
      </c>
    </row>
    <row r="279" spans="8:13" x14ac:dyDescent="0.25">
      <c r="H279" s="18" t="s">
        <v>52</v>
      </c>
      <c r="I279" s="3">
        <v>2020</v>
      </c>
      <c r="J279" s="13">
        <f t="shared" si="47"/>
        <v>44048</v>
      </c>
      <c r="K279" s="14">
        <f t="shared" si="46"/>
        <v>44048</v>
      </c>
      <c r="L279" s="15">
        <f t="shared" si="48"/>
        <v>44048</v>
      </c>
      <c r="M279" s="18" t="s">
        <v>39</v>
      </c>
    </row>
    <row r="280" spans="8:13" x14ac:dyDescent="0.25">
      <c r="H280" s="18" t="s">
        <v>52</v>
      </c>
      <c r="I280" s="3">
        <v>2021</v>
      </c>
      <c r="J280" s="13">
        <f t="shared" si="47"/>
        <v>44413</v>
      </c>
      <c r="K280" s="14">
        <f t="shared" si="46"/>
        <v>44413</v>
      </c>
      <c r="L280" s="15">
        <f t="shared" si="48"/>
        <v>44413</v>
      </c>
      <c r="M280" s="18" t="s">
        <v>39</v>
      </c>
    </row>
    <row r="281" spans="8:13" x14ac:dyDescent="0.25">
      <c r="H281" s="18" t="s">
        <v>52</v>
      </c>
      <c r="I281" s="3">
        <v>2022</v>
      </c>
      <c r="J281" s="13">
        <f t="shared" si="47"/>
        <v>44778</v>
      </c>
      <c r="K281" s="14">
        <f t="shared" si="46"/>
        <v>44778</v>
      </c>
      <c r="L281" s="15">
        <f t="shared" si="48"/>
        <v>44778</v>
      </c>
      <c r="M281" s="18" t="s">
        <v>39</v>
      </c>
    </row>
    <row r="282" spans="8:13" x14ac:dyDescent="0.25">
      <c r="H282" s="18" t="s">
        <v>52</v>
      </c>
      <c r="I282" s="3">
        <v>2023</v>
      </c>
      <c r="J282" s="13">
        <f t="shared" si="47"/>
        <v>45143</v>
      </c>
      <c r="K282" s="14">
        <f t="shared" si="46"/>
        <v>45143</v>
      </c>
      <c r="L282" s="15">
        <f t="shared" si="48"/>
        <v>45143</v>
      </c>
      <c r="M282" s="18" t="s">
        <v>39</v>
      </c>
    </row>
    <row r="283" spans="8:13" x14ac:dyDescent="0.25">
      <c r="H283" s="18" t="s">
        <v>52</v>
      </c>
      <c r="I283" s="3">
        <v>2024</v>
      </c>
      <c r="J283" s="13">
        <f t="shared" si="47"/>
        <v>45509</v>
      </c>
      <c r="K283" s="14">
        <f t="shared" si="46"/>
        <v>45509</v>
      </c>
      <c r="L283" s="15">
        <f t="shared" si="48"/>
        <v>45509</v>
      </c>
      <c r="M283" s="18" t="s">
        <v>39</v>
      </c>
    </row>
    <row r="284" spans="8:13" x14ac:dyDescent="0.25">
      <c r="H284" s="18" t="s">
        <v>52</v>
      </c>
      <c r="I284" s="3">
        <v>2025</v>
      </c>
      <c r="J284" s="13">
        <f t="shared" si="47"/>
        <v>45874</v>
      </c>
      <c r="K284" s="14">
        <f t="shared" si="46"/>
        <v>45874</v>
      </c>
      <c r="L284" s="15">
        <f t="shared" si="48"/>
        <v>45874</v>
      </c>
      <c r="M284" s="18" t="s">
        <v>39</v>
      </c>
    </row>
    <row r="285" spans="8:13" x14ac:dyDescent="0.25">
      <c r="H285" s="18" t="s">
        <v>52</v>
      </c>
      <c r="I285" s="3">
        <v>2026</v>
      </c>
      <c r="J285" s="13">
        <f t="shared" si="47"/>
        <v>46239</v>
      </c>
      <c r="K285" s="14">
        <f t="shared" si="46"/>
        <v>46239</v>
      </c>
      <c r="L285" s="15">
        <f t="shared" si="48"/>
        <v>46239</v>
      </c>
      <c r="M285" s="18" t="s">
        <v>39</v>
      </c>
    </row>
    <row r="286" spans="8:13" x14ac:dyDescent="0.25">
      <c r="H286" s="18" t="s">
        <v>52</v>
      </c>
      <c r="I286" s="3">
        <v>2027</v>
      </c>
      <c r="J286" s="13">
        <f t="shared" si="47"/>
        <v>46604</v>
      </c>
      <c r="K286" s="14">
        <f t="shared" si="46"/>
        <v>46604</v>
      </c>
      <c r="L286" s="15">
        <f t="shared" si="48"/>
        <v>46604</v>
      </c>
      <c r="M286" s="18" t="s">
        <v>39</v>
      </c>
    </row>
    <row r="287" spans="8:13" x14ac:dyDescent="0.25">
      <c r="H287" s="18" t="s">
        <v>52</v>
      </c>
      <c r="I287" s="3">
        <v>2028</v>
      </c>
      <c r="J287" s="13">
        <f t="shared" si="47"/>
        <v>46970</v>
      </c>
      <c r="K287" s="14">
        <f t="shared" si="46"/>
        <v>46970</v>
      </c>
      <c r="L287" s="15">
        <f t="shared" si="48"/>
        <v>46970</v>
      </c>
      <c r="M287" s="18" t="s">
        <v>39</v>
      </c>
    </row>
    <row r="288" spans="8:13" x14ac:dyDescent="0.25">
      <c r="H288" s="18" t="s">
        <v>52</v>
      </c>
      <c r="I288" s="3">
        <v>2029</v>
      </c>
      <c r="J288" s="13">
        <f t="shared" si="47"/>
        <v>47335</v>
      </c>
      <c r="K288" s="14">
        <f t="shared" si="46"/>
        <v>47335</v>
      </c>
      <c r="L288" s="15">
        <f t="shared" si="48"/>
        <v>47335</v>
      </c>
      <c r="M288" s="18" t="s">
        <v>39</v>
      </c>
    </row>
    <row r="289" spans="8:13" x14ac:dyDescent="0.25">
      <c r="H289" s="18" t="s">
        <v>52</v>
      </c>
      <c r="I289" s="3">
        <v>2030</v>
      </c>
      <c r="J289" s="13">
        <f t="shared" si="47"/>
        <v>47700</v>
      </c>
      <c r="K289" s="14">
        <f t="shared" si="46"/>
        <v>47700</v>
      </c>
      <c r="L289" s="15">
        <f t="shared" si="48"/>
        <v>47700</v>
      </c>
      <c r="M289" s="18" t="s">
        <v>39</v>
      </c>
    </row>
    <row r="290" spans="8:13" x14ac:dyDescent="0.25">
      <c r="H290" s="18" t="s">
        <v>53</v>
      </c>
      <c r="I290" s="3">
        <v>2013</v>
      </c>
      <c r="J290" s="13">
        <f>CONCATENATE("06/08/",$I290)*1</f>
        <v>41492</v>
      </c>
      <c r="K290" s="14">
        <f t="shared" si="46"/>
        <v>41492</v>
      </c>
      <c r="L290" s="15">
        <f t="shared" si="48"/>
        <v>41492</v>
      </c>
      <c r="M290" s="18" t="s">
        <v>39</v>
      </c>
    </row>
    <row r="291" spans="8:13" x14ac:dyDescent="0.25">
      <c r="H291" s="18" t="s">
        <v>53</v>
      </c>
      <c r="I291" s="3">
        <v>2014</v>
      </c>
      <c r="J291" s="13">
        <f t="shared" ref="J291:J307" si="49">CONCATENATE("06/08/",$I291)*1</f>
        <v>41857</v>
      </c>
      <c r="K291" s="14">
        <f t="shared" si="46"/>
        <v>41857</v>
      </c>
      <c r="L291" s="15">
        <f t="shared" ref="L291:L308" si="50">J291</f>
        <v>41857</v>
      </c>
      <c r="M291" s="18" t="s">
        <v>39</v>
      </c>
    </row>
    <row r="292" spans="8:13" x14ac:dyDescent="0.25">
      <c r="H292" s="18" t="s">
        <v>53</v>
      </c>
      <c r="I292" s="3">
        <v>2015</v>
      </c>
      <c r="J292" s="13">
        <f t="shared" si="49"/>
        <v>42222</v>
      </c>
      <c r="K292" s="14">
        <f t="shared" si="46"/>
        <v>42222</v>
      </c>
      <c r="L292" s="15">
        <f t="shared" si="50"/>
        <v>42222</v>
      </c>
      <c r="M292" s="18" t="s">
        <v>39</v>
      </c>
    </row>
    <row r="293" spans="8:13" x14ac:dyDescent="0.25">
      <c r="H293" s="18" t="s">
        <v>53</v>
      </c>
      <c r="I293" s="3">
        <v>2016</v>
      </c>
      <c r="J293" s="13">
        <f t="shared" si="49"/>
        <v>42588</v>
      </c>
      <c r="K293" s="14">
        <f t="shared" si="46"/>
        <v>42588</v>
      </c>
      <c r="L293" s="15">
        <f t="shared" si="50"/>
        <v>42588</v>
      </c>
      <c r="M293" s="18" t="s">
        <v>39</v>
      </c>
    </row>
    <row r="294" spans="8:13" x14ac:dyDescent="0.25">
      <c r="H294" s="18" t="s">
        <v>53</v>
      </c>
      <c r="I294" s="3">
        <v>2017</v>
      </c>
      <c r="J294" s="13">
        <f t="shared" si="49"/>
        <v>42953</v>
      </c>
      <c r="K294" s="14">
        <f t="shared" si="46"/>
        <v>42953</v>
      </c>
      <c r="L294" s="15">
        <f t="shared" si="50"/>
        <v>42953</v>
      </c>
      <c r="M294" s="18" t="s">
        <v>39</v>
      </c>
    </row>
    <row r="295" spans="8:13" x14ac:dyDescent="0.25">
      <c r="H295" s="18" t="s">
        <v>53</v>
      </c>
      <c r="I295" s="3">
        <v>2018</v>
      </c>
      <c r="J295" s="13">
        <f t="shared" si="49"/>
        <v>43318</v>
      </c>
      <c r="K295" s="14">
        <f t="shared" si="46"/>
        <v>43318</v>
      </c>
      <c r="L295" s="15">
        <f t="shared" si="50"/>
        <v>43318</v>
      </c>
      <c r="M295" s="18" t="s">
        <v>39</v>
      </c>
    </row>
    <row r="296" spans="8:13" x14ac:dyDescent="0.25">
      <c r="H296" s="18" t="s">
        <v>53</v>
      </c>
      <c r="I296" s="3">
        <v>2019</v>
      </c>
      <c r="J296" s="13">
        <f t="shared" si="49"/>
        <v>43683</v>
      </c>
      <c r="K296" s="14">
        <f t="shared" si="46"/>
        <v>43683</v>
      </c>
      <c r="L296" s="15">
        <f t="shared" si="50"/>
        <v>43683</v>
      </c>
      <c r="M296" s="18" t="s">
        <v>39</v>
      </c>
    </row>
    <row r="297" spans="8:13" x14ac:dyDescent="0.25">
      <c r="H297" s="18" t="s">
        <v>53</v>
      </c>
      <c r="I297" s="3">
        <v>2020</v>
      </c>
      <c r="J297" s="13">
        <f t="shared" si="49"/>
        <v>44049</v>
      </c>
      <c r="K297" s="14">
        <f t="shared" si="46"/>
        <v>44049</v>
      </c>
      <c r="L297" s="15">
        <f t="shared" si="50"/>
        <v>44049</v>
      </c>
      <c r="M297" s="18" t="s">
        <v>39</v>
      </c>
    </row>
    <row r="298" spans="8:13" x14ac:dyDescent="0.25">
      <c r="H298" s="18" t="s">
        <v>53</v>
      </c>
      <c r="I298" s="3">
        <v>2021</v>
      </c>
      <c r="J298" s="13">
        <f t="shared" si="49"/>
        <v>44414</v>
      </c>
      <c r="K298" s="14">
        <f t="shared" si="46"/>
        <v>44414</v>
      </c>
      <c r="L298" s="15">
        <f t="shared" si="50"/>
        <v>44414</v>
      </c>
      <c r="M298" s="18" t="s">
        <v>39</v>
      </c>
    </row>
    <row r="299" spans="8:13" x14ac:dyDescent="0.25">
      <c r="H299" s="18" t="s">
        <v>53</v>
      </c>
      <c r="I299" s="3">
        <v>2022</v>
      </c>
      <c r="J299" s="13">
        <f t="shared" si="49"/>
        <v>44779</v>
      </c>
      <c r="K299" s="14">
        <f t="shared" si="46"/>
        <v>44779</v>
      </c>
      <c r="L299" s="15">
        <f t="shared" si="50"/>
        <v>44779</v>
      </c>
      <c r="M299" s="18" t="s">
        <v>39</v>
      </c>
    </row>
    <row r="300" spans="8:13" x14ac:dyDescent="0.25">
      <c r="H300" s="18" t="s">
        <v>53</v>
      </c>
      <c r="I300" s="3">
        <v>2023</v>
      </c>
      <c r="J300" s="13">
        <f t="shared" si="49"/>
        <v>45144</v>
      </c>
      <c r="K300" s="14">
        <f t="shared" si="46"/>
        <v>45144</v>
      </c>
      <c r="L300" s="15">
        <f t="shared" si="50"/>
        <v>45144</v>
      </c>
      <c r="M300" s="18" t="s">
        <v>39</v>
      </c>
    </row>
    <row r="301" spans="8:13" x14ac:dyDescent="0.25">
      <c r="H301" s="18" t="s">
        <v>53</v>
      </c>
      <c r="I301" s="3">
        <v>2024</v>
      </c>
      <c r="J301" s="13">
        <f t="shared" si="49"/>
        <v>45510</v>
      </c>
      <c r="K301" s="14">
        <f t="shared" si="46"/>
        <v>45510</v>
      </c>
      <c r="L301" s="15">
        <f t="shared" si="50"/>
        <v>45510</v>
      </c>
      <c r="M301" s="18" t="s">
        <v>39</v>
      </c>
    </row>
    <row r="302" spans="8:13" x14ac:dyDescent="0.25">
      <c r="H302" s="18" t="s">
        <v>53</v>
      </c>
      <c r="I302" s="3">
        <v>2025</v>
      </c>
      <c r="J302" s="13">
        <f t="shared" si="49"/>
        <v>45875</v>
      </c>
      <c r="K302" s="14">
        <f t="shared" si="46"/>
        <v>45875</v>
      </c>
      <c r="L302" s="15">
        <f t="shared" si="50"/>
        <v>45875</v>
      </c>
      <c r="M302" s="18" t="s">
        <v>39</v>
      </c>
    </row>
    <row r="303" spans="8:13" x14ac:dyDescent="0.25">
      <c r="H303" s="18" t="s">
        <v>53</v>
      </c>
      <c r="I303" s="3">
        <v>2026</v>
      </c>
      <c r="J303" s="13">
        <f t="shared" si="49"/>
        <v>46240</v>
      </c>
      <c r="K303" s="14">
        <f t="shared" si="46"/>
        <v>46240</v>
      </c>
      <c r="L303" s="15">
        <f t="shared" si="50"/>
        <v>46240</v>
      </c>
      <c r="M303" s="18" t="s">
        <v>39</v>
      </c>
    </row>
    <row r="304" spans="8:13" x14ac:dyDescent="0.25">
      <c r="H304" s="18" t="s">
        <v>53</v>
      </c>
      <c r="I304" s="3">
        <v>2027</v>
      </c>
      <c r="J304" s="13">
        <f t="shared" si="49"/>
        <v>46605</v>
      </c>
      <c r="K304" s="14">
        <f t="shared" si="46"/>
        <v>46605</v>
      </c>
      <c r="L304" s="15">
        <f t="shared" si="50"/>
        <v>46605</v>
      </c>
      <c r="M304" s="18" t="s">
        <v>39</v>
      </c>
    </row>
    <row r="305" spans="8:13" x14ac:dyDescent="0.25">
      <c r="H305" s="18" t="s">
        <v>53</v>
      </c>
      <c r="I305" s="3">
        <v>2028</v>
      </c>
      <c r="J305" s="13">
        <f t="shared" si="49"/>
        <v>46971</v>
      </c>
      <c r="K305" s="14">
        <f t="shared" si="46"/>
        <v>46971</v>
      </c>
      <c r="L305" s="15">
        <f t="shared" si="50"/>
        <v>46971</v>
      </c>
      <c r="M305" s="18" t="s">
        <v>39</v>
      </c>
    </row>
    <row r="306" spans="8:13" x14ac:dyDescent="0.25">
      <c r="H306" s="18" t="s">
        <v>53</v>
      </c>
      <c r="I306" s="3">
        <v>2029</v>
      </c>
      <c r="J306" s="13">
        <f t="shared" si="49"/>
        <v>47336</v>
      </c>
      <c r="K306" s="14">
        <f t="shared" si="46"/>
        <v>47336</v>
      </c>
      <c r="L306" s="15">
        <f t="shared" si="50"/>
        <v>47336</v>
      </c>
      <c r="M306" s="18" t="s">
        <v>39</v>
      </c>
    </row>
    <row r="307" spans="8:13" x14ac:dyDescent="0.25">
      <c r="H307" s="18" t="s">
        <v>53</v>
      </c>
      <c r="I307" s="3">
        <v>2030</v>
      </c>
      <c r="J307" s="13">
        <f t="shared" si="49"/>
        <v>47701</v>
      </c>
      <c r="K307" s="14">
        <f t="shared" si="46"/>
        <v>47701</v>
      </c>
      <c r="L307" s="15">
        <f t="shared" si="50"/>
        <v>47701</v>
      </c>
      <c r="M307" s="18" t="s">
        <v>39</v>
      </c>
    </row>
    <row r="308" spans="8:13" x14ac:dyDescent="0.25">
      <c r="H308" s="18" t="s">
        <v>54</v>
      </c>
      <c r="I308" s="3">
        <v>2013</v>
      </c>
      <c r="J308" s="13">
        <f>CONCATENATE("07/08/",$I308)*1</f>
        <v>41493</v>
      </c>
      <c r="K308" s="14">
        <f t="shared" si="46"/>
        <v>41493</v>
      </c>
      <c r="L308" s="15">
        <f t="shared" si="50"/>
        <v>41493</v>
      </c>
      <c r="M308" s="18" t="s">
        <v>39</v>
      </c>
    </row>
    <row r="309" spans="8:13" x14ac:dyDescent="0.25">
      <c r="H309" s="18" t="s">
        <v>54</v>
      </c>
      <c r="I309" s="3">
        <v>2014</v>
      </c>
      <c r="J309" s="13">
        <f t="shared" ref="J309:J325" si="51">CONCATENATE("07/08/",$I309)*1</f>
        <v>41858</v>
      </c>
      <c r="K309" s="14">
        <f t="shared" si="46"/>
        <v>41858</v>
      </c>
      <c r="L309" s="15">
        <f t="shared" ref="L309:L326" si="52">J309</f>
        <v>41858</v>
      </c>
      <c r="M309" s="18" t="s">
        <v>39</v>
      </c>
    </row>
    <row r="310" spans="8:13" x14ac:dyDescent="0.25">
      <c r="H310" s="18" t="s">
        <v>54</v>
      </c>
      <c r="I310" s="3">
        <v>2015</v>
      </c>
      <c r="J310" s="13">
        <f t="shared" si="51"/>
        <v>42223</v>
      </c>
      <c r="K310" s="14">
        <f t="shared" si="46"/>
        <v>42223</v>
      </c>
      <c r="L310" s="15">
        <f t="shared" si="52"/>
        <v>42223</v>
      </c>
      <c r="M310" s="18" t="s">
        <v>39</v>
      </c>
    </row>
    <row r="311" spans="8:13" x14ac:dyDescent="0.25">
      <c r="H311" s="18" t="s">
        <v>54</v>
      </c>
      <c r="I311" s="3">
        <v>2016</v>
      </c>
      <c r="J311" s="13">
        <f t="shared" si="51"/>
        <v>42589</v>
      </c>
      <c r="K311" s="14">
        <f t="shared" si="46"/>
        <v>42589</v>
      </c>
      <c r="L311" s="15">
        <f t="shared" si="52"/>
        <v>42589</v>
      </c>
      <c r="M311" s="18" t="s">
        <v>39</v>
      </c>
    </row>
    <row r="312" spans="8:13" x14ac:dyDescent="0.25">
      <c r="H312" s="18" t="s">
        <v>54</v>
      </c>
      <c r="I312" s="3">
        <v>2017</v>
      </c>
      <c r="J312" s="13">
        <f t="shared" si="51"/>
        <v>42954</v>
      </c>
      <c r="K312" s="14">
        <f t="shared" si="46"/>
        <v>42954</v>
      </c>
      <c r="L312" s="15">
        <f t="shared" si="52"/>
        <v>42954</v>
      </c>
      <c r="M312" s="18" t="s">
        <v>39</v>
      </c>
    </row>
    <row r="313" spans="8:13" x14ac:dyDescent="0.25">
      <c r="H313" s="18" t="s">
        <v>54</v>
      </c>
      <c r="I313" s="3">
        <v>2018</v>
      </c>
      <c r="J313" s="13">
        <f t="shared" si="51"/>
        <v>43319</v>
      </c>
      <c r="K313" s="14">
        <f t="shared" si="46"/>
        <v>43319</v>
      </c>
      <c r="L313" s="15">
        <f t="shared" si="52"/>
        <v>43319</v>
      </c>
      <c r="M313" s="18" t="s">
        <v>39</v>
      </c>
    </row>
    <row r="314" spans="8:13" x14ac:dyDescent="0.25">
      <c r="H314" s="18" t="s">
        <v>54</v>
      </c>
      <c r="I314" s="3">
        <v>2019</v>
      </c>
      <c r="J314" s="13">
        <f t="shared" si="51"/>
        <v>43684</v>
      </c>
      <c r="K314" s="14">
        <f t="shared" si="46"/>
        <v>43684</v>
      </c>
      <c r="L314" s="15">
        <f t="shared" si="52"/>
        <v>43684</v>
      </c>
      <c r="M314" s="18" t="s">
        <v>39</v>
      </c>
    </row>
    <row r="315" spans="8:13" x14ac:dyDescent="0.25">
      <c r="H315" s="18" t="s">
        <v>54</v>
      </c>
      <c r="I315" s="3">
        <v>2020</v>
      </c>
      <c r="J315" s="13">
        <f t="shared" si="51"/>
        <v>44050</v>
      </c>
      <c r="K315" s="14">
        <f t="shared" si="46"/>
        <v>44050</v>
      </c>
      <c r="L315" s="15">
        <f t="shared" si="52"/>
        <v>44050</v>
      </c>
      <c r="M315" s="18" t="s">
        <v>39</v>
      </c>
    </row>
    <row r="316" spans="8:13" x14ac:dyDescent="0.25">
      <c r="H316" s="18" t="s">
        <v>54</v>
      </c>
      <c r="I316" s="3">
        <v>2021</v>
      </c>
      <c r="J316" s="13">
        <f t="shared" si="51"/>
        <v>44415</v>
      </c>
      <c r="K316" s="14">
        <f t="shared" si="46"/>
        <v>44415</v>
      </c>
      <c r="L316" s="15">
        <f t="shared" si="52"/>
        <v>44415</v>
      </c>
      <c r="M316" s="18" t="s">
        <v>39</v>
      </c>
    </row>
    <row r="317" spans="8:13" x14ac:dyDescent="0.25">
      <c r="H317" s="18" t="s">
        <v>54</v>
      </c>
      <c r="I317" s="3">
        <v>2022</v>
      </c>
      <c r="J317" s="13">
        <f t="shared" si="51"/>
        <v>44780</v>
      </c>
      <c r="K317" s="14">
        <f t="shared" si="46"/>
        <v>44780</v>
      </c>
      <c r="L317" s="15">
        <f t="shared" si="52"/>
        <v>44780</v>
      </c>
      <c r="M317" s="18" t="s">
        <v>39</v>
      </c>
    </row>
    <row r="318" spans="8:13" x14ac:dyDescent="0.25">
      <c r="H318" s="18" t="s">
        <v>54</v>
      </c>
      <c r="I318" s="3">
        <v>2023</v>
      </c>
      <c r="J318" s="13">
        <f t="shared" si="51"/>
        <v>45145</v>
      </c>
      <c r="K318" s="14">
        <f t="shared" si="46"/>
        <v>45145</v>
      </c>
      <c r="L318" s="15">
        <f t="shared" si="52"/>
        <v>45145</v>
      </c>
      <c r="M318" s="18" t="s">
        <v>39</v>
      </c>
    </row>
    <row r="319" spans="8:13" x14ac:dyDescent="0.25">
      <c r="H319" s="18" t="s">
        <v>54</v>
      </c>
      <c r="I319" s="3">
        <v>2024</v>
      </c>
      <c r="J319" s="13">
        <f t="shared" si="51"/>
        <v>45511</v>
      </c>
      <c r="K319" s="14">
        <f t="shared" si="46"/>
        <v>45511</v>
      </c>
      <c r="L319" s="15">
        <f t="shared" si="52"/>
        <v>45511</v>
      </c>
      <c r="M319" s="18" t="s">
        <v>39</v>
      </c>
    </row>
    <row r="320" spans="8:13" x14ac:dyDescent="0.25">
      <c r="H320" s="18" t="s">
        <v>54</v>
      </c>
      <c r="I320" s="3">
        <v>2025</v>
      </c>
      <c r="J320" s="13">
        <f t="shared" si="51"/>
        <v>45876</v>
      </c>
      <c r="K320" s="14">
        <f t="shared" si="46"/>
        <v>45876</v>
      </c>
      <c r="L320" s="15">
        <f t="shared" si="52"/>
        <v>45876</v>
      </c>
      <c r="M320" s="18" t="s">
        <v>39</v>
      </c>
    </row>
    <row r="321" spans="8:13" x14ac:dyDescent="0.25">
      <c r="H321" s="18" t="s">
        <v>54</v>
      </c>
      <c r="I321" s="3">
        <v>2026</v>
      </c>
      <c r="J321" s="13">
        <f t="shared" si="51"/>
        <v>46241</v>
      </c>
      <c r="K321" s="14">
        <f t="shared" si="46"/>
        <v>46241</v>
      </c>
      <c r="L321" s="15">
        <f t="shared" si="52"/>
        <v>46241</v>
      </c>
      <c r="M321" s="18" t="s">
        <v>39</v>
      </c>
    </row>
    <row r="322" spans="8:13" x14ac:dyDescent="0.25">
      <c r="H322" s="18" t="s">
        <v>54</v>
      </c>
      <c r="I322" s="3">
        <v>2027</v>
      </c>
      <c r="J322" s="13">
        <f t="shared" si="51"/>
        <v>46606</v>
      </c>
      <c r="K322" s="14">
        <f t="shared" si="46"/>
        <v>46606</v>
      </c>
      <c r="L322" s="15">
        <f t="shared" si="52"/>
        <v>46606</v>
      </c>
      <c r="M322" s="18" t="s">
        <v>39</v>
      </c>
    </row>
    <row r="323" spans="8:13" x14ac:dyDescent="0.25">
      <c r="H323" s="18" t="s">
        <v>54</v>
      </c>
      <c r="I323" s="3">
        <v>2028</v>
      </c>
      <c r="J323" s="13">
        <f t="shared" si="51"/>
        <v>46972</v>
      </c>
      <c r="K323" s="14">
        <f t="shared" si="46"/>
        <v>46972</v>
      </c>
      <c r="L323" s="15">
        <f t="shared" si="52"/>
        <v>46972</v>
      </c>
      <c r="M323" s="18" t="s">
        <v>39</v>
      </c>
    </row>
    <row r="324" spans="8:13" x14ac:dyDescent="0.25">
      <c r="H324" s="18" t="s">
        <v>54</v>
      </c>
      <c r="I324" s="3">
        <v>2029</v>
      </c>
      <c r="J324" s="13">
        <f t="shared" si="51"/>
        <v>47337</v>
      </c>
      <c r="K324" s="14">
        <f t="shared" si="46"/>
        <v>47337</v>
      </c>
      <c r="L324" s="15">
        <f t="shared" si="52"/>
        <v>47337</v>
      </c>
      <c r="M324" s="18" t="s">
        <v>39</v>
      </c>
    </row>
    <row r="325" spans="8:13" x14ac:dyDescent="0.25">
      <c r="H325" s="18" t="s">
        <v>54</v>
      </c>
      <c r="I325" s="3">
        <v>2030</v>
      </c>
      <c r="J325" s="13">
        <f t="shared" si="51"/>
        <v>47702</v>
      </c>
      <c r="K325" s="14">
        <f t="shared" si="46"/>
        <v>47702</v>
      </c>
      <c r="L325" s="15">
        <f t="shared" si="52"/>
        <v>47702</v>
      </c>
      <c r="M325" s="18" t="s">
        <v>39</v>
      </c>
    </row>
    <row r="326" spans="8:13" x14ac:dyDescent="0.25">
      <c r="H326" s="18" t="s">
        <v>55</v>
      </c>
      <c r="I326" s="3">
        <v>2013</v>
      </c>
      <c r="J326" s="13">
        <f>CONCATENATE("08/08/",$I326)*1</f>
        <v>41494</v>
      </c>
      <c r="K326" s="14">
        <f t="shared" si="46"/>
        <v>41494</v>
      </c>
      <c r="L326" s="15">
        <f t="shared" si="52"/>
        <v>41494</v>
      </c>
      <c r="M326" s="18" t="s">
        <v>39</v>
      </c>
    </row>
    <row r="327" spans="8:13" x14ac:dyDescent="0.25">
      <c r="H327" s="18" t="s">
        <v>55</v>
      </c>
      <c r="I327" s="3">
        <v>2014</v>
      </c>
      <c r="J327" s="13">
        <f t="shared" ref="J327:J343" si="53">CONCATENATE("08/08/",$I327)*1</f>
        <v>41859</v>
      </c>
      <c r="K327" s="14">
        <f t="shared" si="46"/>
        <v>41859</v>
      </c>
      <c r="L327" s="15">
        <f t="shared" ref="L327:L344" si="54">J327</f>
        <v>41859</v>
      </c>
      <c r="M327" s="18" t="s">
        <v>39</v>
      </c>
    </row>
    <row r="328" spans="8:13" x14ac:dyDescent="0.25">
      <c r="H328" s="18" t="s">
        <v>55</v>
      </c>
      <c r="I328" s="3">
        <v>2015</v>
      </c>
      <c r="J328" s="13">
        <f t="shared" si="53"/>
        <v>42224</v>
      </c>
      <c r="K328" s="14">
        <f t="shared" ref="K328:K391" si="55">J328</f>
        <v>42224</v>
      </c>
      <c r="L328" s="15">
        <f t="shared" si="54"/>
        <v>42224</v>
      </c>
      <c r="M328" s="18" t="s">
        <v>39</v>
      </c>
    </row>
    <row r="329" spans="8:13" x14ac:dyDescent="0.25">
      <c r="H329" s="18" t="s">
        <v>55</v>
      </c>
      <c r="I329" s="3">
        <v>2016</v>
      </c>
      <c r="J329" s="13">
        <f t="shared" si="53"/>
        <v>42590</v>
      </c>
      <c r="K329" s="14">
        <f t="shared" si="55"/>
        <v>42590</v>
      </c>
      <c r="L329" s="15">
        <f t="shared" si="54"/>
        <v>42590</v>
      </c>
      <c r="M329" s="18" t="s">
        <v>39</v>
      </c>
    </row>
    <row r="330" spans="8:13" x14ac:dyDescent="0.25">
      <c r="H330" s="18" t="s">
        <v>55</v>
      </c>
      <c r="I330" s="3">
        <v>2017</v>
      </c>
      <c r="J330" s="13">
        <f t="shared" si="53"/>
        <v>42955</v>
      </c>
      <c r="K330" s="14">
        <f t="shared" si="55"/>
        <v>42955</v>
      </c>
      <c r="L330" s="15">
        <f t="shared" si="54"/>
        <v>42955</v>
      </c>
      <c r="M330" s="18" t="s">
        <v>39</v>
      </c>
    </row>
    <row r="331" spans="8:13" x14ac:dyDescent="0.25">
      <c r="H331" s="18" t="s">
        <v>55</v>
      </c>
      <c r="I331" s="3">
        <v>2018</v>
      </c>
      <c r="J331" s="13">
        <f t="shared" si="53"/>
        <v>43320</v>
      </c>
      <c r="K331" s="14">
        <f t="shared" si="55"/>
        <v>43320</v>
      </c>
      <c r="L331" s="15">
        <f t="shared" si="54"/>
        <v>43320</v>
      </c>
      <c r="M331" s="18" t="s">
        <v>39</v>
      </c>
    </row>
    <row r="332" spans="8:13" x14ac:dyDescent="0.25">
      <c r="H332" s="18" t="s">
        <v>55</v>
      </c>
      <c r="I332" s="3">
        <v>2019</v>
      </c>
      <c r="J332" s="13">
        <f t="shared" si="53"/>
        <v>43685</v>
      </c>
      <c r="K332" s="14">
        <f t="shared" si="55"/>
        <v>43685</v>
      </c>
      <c r="L332" s="15">
        <f t="shared" si="54"/>
        <v>43685</v>
      </c>
      <c r="M332" s="18" t="s">
        <v>39</v>
      </c>
    </row>
    <row r="333" spans="8:13" x14ac:dyDescent="0.25">
      <c r="H333" s="18" t="s">
        <v>55</v>
      </c>
      <c r="I333" s="3">
        <v>2020</v>
      </c>
      <c r="J333" s="13">
        <f t="shared" si="53"/>
        <v>44051</v>
      </c>
      <c r="K333" s="14">
        <f t="shared" si="55"/>
        <v>44051</v>
      </c>
      <c r="L333" s="15">
        <f t="shared" si="54"/>
        <v>44051</v>
      </c>
      <c r="M333" s="18" t="s">
        <v>39</v>
      </c>
    </row>
    <row r="334" spans="8:13" x14ac:dyDescent="0.25">
      <c r="H334" s="18" t="s">
        <v>55</v>
      </c>
      <c r="I334" s="3">
        <v>2021</v>
      </c>
      <c r="J334" s="13">
        <f t="shared" si="53"/>
        <v>44416</v>
      </c>
      <c r="K334" s="14">
        <f t="shared" si="55"/>
        <v>44416</v>
      </c>
      <c r="L334" s="15">
        <f t="shared" si="54"/>
        <v>44416</v>
      </c>
      <c r="M334" s="18" t="s">
        <v>39</v>
      </c>
    </row>
    <row r="335" spans="8:13" x14ac:dyDescent="0.25">
      <c r="H335" s="18" t="s">
        <v>55</v>
      </c>
      <c r="I335" s="3">
        <v>2022</v>
      </c>
      <c r="J335" s="13">
        <f t="shared" si="53"/>
        <v>44781</v>
      </c>
      <c r="K335" s="14">
        <f t="shared" si="55"/>
        <v>44781</v>
      </c>
      <c r="L335" s="15">
        <f t="shared" si="54"/>
        <v>44781</v>
      </c>
      <c r="M335" s="18" t="s">
        <v>39</v>
      </c>
    </row>
    <row r="336" spans="8:13" x14ac:dyDescent="0.25">
      <c r="H336" s="18" t="s">
        <v>55</v>
      </c>
      <c r="I336" s="3">
        <v>2023</v>
      </c>
      <c r="J336" s="13">
        <f t="shared" si="53"/>
        <v>45146</v>
      </c>
      <c r="K336" s="14">
        <f t="shared" si="55"/>
        <v>45146</v>
      </c>
      <c r="L336" s="15">
        <f t="shared" si="54"/>
        <v>45146</v>
      </c>
      <c r="M336" s="18" t="s">
        <v>39</v>
      </c>
    </row>
    <row r="337" spans="8:13" x14ac:dyDescent="0.25">
      <c r="H337" s="18" t="s">
        <v>55</v>
      </c>
      <c r="I337" s="3">
        <v>2024</v>
      </c>
      <c r="J337" s="13">
        <f t="shared" si="53"/>
        <v>45512</v>
      </c>
      <c r="K337" s="14">
        <f t="shared" si="55"/>
        <v>45512</v>
      </c>
      <c r="L337" s="15">
        <f t="shared" si="54"/>
        <v>45512</v>
      </c>
      <c r="M337" s="18" t="s">
        <v>39</v>
      </c>
    </row>
    <row r="338" spans="8:13" x14ac:dyDescent="0.25">
      <c r="H338" s="18" t="s">
        <v>55</v>
      </c>
      <c r="I338" s="3">
        <v>2025</v>
      </c>
      <c r="J338" s="13">
        <f t="shared" si="53"/>
        <v>45877</v>
      </c>
      <c r="K338" s="14">
        <f t="shared" si="55"/>
        <v>45877</v>
      </c>
      <c r="L338" s="15">
        <f t="shared" si="54"/>
        <v>45877</v>
      </c>
      <c r="M338" s="18" t="s">
        <v>39</v>
      </c>
    </row>
    <row r="339" spans="8:13" x14ac:dyDescent="0.25">
      <c r="H339" s="18" t="s">
        <v>55</v>
      </c>
      <c r="I339" s="3">
        <v>2026</v>
      </c>
      <c r="J339" s="13">
        <f t="shared" si="53"/>
        <v>46242</v>
      </c>
      <c r="K339" s="14">
        <f t="shared" si="55"/>
        <v>46242</v>
      </c>
      <c r="L339" s="15">
        <f t="shared" si="54"/>
        <v>46242</v>
      </c>
      <c r="M339" s="18" t="s">
        <v>39</v>
      </c>
    </row>
    <row r="340" spans="8:13" x14ac:dyDescent="0.25">
      <c r="H340" s="18" t="s">
        <v>55</v>
      </c>
      <c r="I340" s="3">
        <v>2027</v>
      </c>
      <c r="J340" s="13">
        <f t="shared" si="53"/>
        <v>46607</v>
      </c>
      <c r="K340" s="14">
        <f t="shared" si="55"/>
        <v>46607</v>
      </c>
      <c r="L340" s="15">
        <f t="shared" si="54"/>
        <v>46607</v>
      </c>
      <c r="M340" s="18" t="s">
        <v>39</v>
      </c>
    </row>
    <row r="341" spans="8:13" x14ac:dyDescent="0.25">
      <c r="H341" s="18" t="s">
        <v>55</v>
      </c>
      <c r="I341" s="3">
        <v>2028</v>
      </c>
      <c r="J341" s="13">
        <f t="shared" si="53"/>
        <v>46973</v>
      </c>
      <c r="K341" s="14">
        <f t="shared" si="55"/>
        <v>46973</v>
      </c>
      <c r="L341" s="15">
        <f t="shared" si="54"/>
        <v>46973</v>
      </c>
      <c r="M341" s="18" t="s">
        <v>39</v>
      </c>
    </row>
    <row r="342" spans="8:13" x14ac:dyDescent="0.25">
      <c r="H342" s="18" t="s">
        <v>55</v>
      </c>
      <c r="I342" s="3">
        <v>2029</v>
      </c>
      <c r="J342" s="13">
        <f t="shared" si="53"/>
        <v>47338</v>
      </c>
      <c r="K342" s="14">
        <f t="shared" si="55"/>
        <v>47338</v>
      </c>
      <c r="L342" s="15">
        <f t="shared" si="54"/>
        <v>47338</v>
      </c>
      <c r="M342" s="18" t="s">
        <v>39</v>
      </c>
    </row>
    <row r="343" spans="8:13" x14ac:dyDescent="0.25">
      <c r="H343" s="18" t="s">
        <v>55</v>
      </c>
      <c r="I343" s="3">
        <v>2030</v>
      </c>
      <c r="J343" s="13">
        <f t="shared" si="53"/>
        <v>47703</v>
      </c>
      <c r="K343" s="14">
        <f t="shared" si="55"/>
        <v>47703</v>
      </c>
      <c r="L343" s="15">
        <f t="shared" si="54"/>
        <v>47703</v>
      </c>
      <c r="M343" s="18" t="s">
        <v>39</v>
      </c>
    </row>
    <row r="344" spans="8:13" x14ac:dyDescent="0.25">
      <c r="H344" s="18" t="s">
        <v>56</v>
      </c>
      <c r="I344" s="3">
        <v>2013</v>
      </c>
      <c r="J344" s="13">
        <f>CONCATENATE("09/08/",$I344)*1</f>
        <v>41495</v>
      </c>
      <c r="K344" s="14">
        <f t="shared" si="55"/>
        <v>41495</v>
      </c>
      <c r="L344" s="15">
        <f t="shared" si="54"/>
        <v>41495</v>
      </c>
      <c r="M344" s="18" t="s">
        <v>39</v>
      </c>
    </row>
    <row r="345" spans="8:13" x14ac:dyDescent="0.25">
      <c r="H345" s="18" t="s">
        <v>56</v>
      </c>
      <c r="I345" s="3">
        <v>2014</v>
      </c>
      <c r="J345" s="13">
        <f t="shared" ref="J345:J361" si="56">CONCATENATE("09/08/",$I345)*1</f>
        <v>41860</v>
      </c>
      <c r="K345" s="14">
        <f t="shared" si="55"/>
        <v>41860</v>
      </c>
      <c r="L345" s="15">
        <f t="shared" ref="L345:L362" si="57">J345</f>
        <v>41860</v>
      </c>
      <c r="M345" s="18" t="s">
        <v>39</v>
      </c>
    </row>
    <row r="346" spans="8:13" x14ac:dyDescent="0.25">
      <c r="H346" s="18" t="s">
        <v>56</v>
      </c>
      <c r="I346" s="3">
        <v>2015</v>
      </c>
      <c r="J346" s="13">
        <f t="shared" si="56"/>
        <v>42225</v>
      </c>
      <c r="K346" s="14">
        <f t="shared" si="55"/>
        <v>42225</v>
      </c>
      <c r="L346" s="15">
        <f t="shared" si="57"/>
        <v>42225</v>
      </c>
      <c r="M346" s="18" t="s">
        <v>39</v>
      </c>
    </row>
    <row r="347" spans="8:13" x14ac:dyDescent="0.25">
      <c r="H347" s="18" t="s">
        <v>56</v>
      </c>
      <c r="I347" s="3">
        <v>2016</v>
      </c>
      <c r="J347" s="13">
        <f t="shared" si="56"/>
        <v>42591</v>
      </c>
      <c r="K347" s="14">
        <f t="shared" si="55"/>
        <v>42591</v>
      </c>
      <c r="L347" s="15">
        <f t="shared" si="57"/>
        <v>42591</v>
      </c>
      <c r="M347" s="18" t="s">
        <v>39</v>
      </c>
    </row>
    <row r="348" spans="8:13" x14ac:dyDescent="0.25">
      <c r="H348" s="18" t="s">
        <v>56</v>
      </c>
      <c r="I348" s="3">
        <v>2017</v>
      </c>
      <c r="J348" s="13">
        <f t="shared" si="56"/>
        <v>42956</v>
      </c>
      <c r="K348" s="14">
        <f t="shared" si="55"/>
        <v>42956</v>
      </c>
      <c r="L348" s="15">
        <f t="shared" si="57"/>
        <v>42956</v>
      </c>
      <c r="M348" s="18" t="s">
        <v>39</v>
      </c>
    </row>
    <row r="349" spans="8:13" x14ac:dyDescent="0.25">
      <c r="H349" s="18" t="s">
        <v>56</v>
      </c>
      <c r="I349" s="3">
        <v>2018</v>
      </c>
      <c r="J349" s="13">
        <f t="shared" si="56"/>
        <v>43321</v>
      </c>
      <c r="K349" s="14">
        <f t="shared" si="55"/>
        <v>43321</v>
      </c>
      <c r="L349" s="15">
        <f t="shared" si="57"/>
        <v>43321</v>
      </c>
      <c r="M349" s="18" t="s">
        <v>39</v>
      </c>
    </row>
    <row r="350" spans="8:13" x14ac:dyDescent="0.25">
      <c r="H350" s="18" t="s">
        <v>56</v>
      </c>
      <c r="I350" s="3">
        <v>2019</v>
      </c>
      <c r="J350" s="13">
        <f t="shared" si="56"/>
        <v>43686</v>
      </c>
      <c r="K350" s="14">
        <f t="shared" si="55"/>
        <v>43686</v>
      </c>
      <c r="L350" s="15">
        <f t="shared" si="57"/>
        <v>43686</v>
      </c>
      <c r="M350" s="18" t="s">
        <v>39</v>
      </c>
    </row>
    <row r="351" spans="8:13" x14ac:dyDescent="0.25">
      <c r="H351" s="18" t="s">
        <v>56</v>
      </c>
      <c r="I351" s="3">
        <v>2020</v>
      </c>
      <c r="J351" s="13">
        <f t="shared" si="56"/>
        <v>44052</v>
      </c>
      <c r="K351" s="14">
        <f t="shared" si="55"/>
        <v>44052</v>
      </c>
      <c r="L351" s="15">
        <f t="shared" si="57"/>
        <v>44052</v>
      </c>
      <c r="M351" s="18" t="s">
        <v>39</v>
      </c>
    </row>
    <row r="352" spans="8:13" x14ac:dyDescent="0.25">
      <c r="H352" s="18" t="s">
        <v>56</v>
      </c>
      <c r="I352" s="3">
        <v>2021</v>
      </c>
      <c r="J352" s="13">
        <f t="shared" si="56"/>
        <v>44417</v>
      </c>
      <c r="K352" s="14">
        <f t="shared" si="55"/>
        <v>44417</v>
      </c>
      <c r="L352" s="15">
        <f t="shared" si="57"/>
        <v>44417</v>
      </c>
      <c r="M352" s="18" t="s">
        <v>39</v>
      </c>
    </row>
    <row r="353" spans="8:13" x14ac:dyDescent="0.25">
      <c r="H353" s="18" t="s">
        <v>56</v>
      </c>
      <c r="I353" s="3">
        <v>2022</v>
      </c>
      <c r="J353" s="13">
        <f t="shared" si="56"/>
        <v>44782</v>
      </c>
      <c r="K353" s="14">
        <f t="shared" si="55"/>
        <v>44782</v>
      </c>
      <c r="L353" s="15">
        <f t="shared" si="57"/>
        <v>44782</v>
      </c>
      <c r="M353" s="18" t="s">
        <v>39</v>
      </c>
    </row>
    <row r="354" spans="8:13" x14ac:dyDescent="0.25">
      <c r="H354" s="18" t="s">
        <v>56</v>
      </c>
      <c r="I354" s="3">
        <v>2023</v>
      </c>
      <c r="J354" s="13">
        <f t="shared" si="56"/>
        <v>45147</v>
      </c>
      <c r="K354" s="14">
        <f t="shared" si="55"/>
        <v>45147</v>
      </c>
      <c r="L354" s="15">
        <f t="shared" si="57"/>
        <v>45147</v>
      </c>
      <c r="M354" s="18" t="s">
        <v>39</v>
      </c>
    </row>
    <row r="355" spans="8:13" x14ac:dyDescent="0.25">
      <c r="H355" s="18" t="s">
        <v>56</v>
      </c>
      <c r="I355" s="3">
        <v>2024</v>
      </c>
      <c r="J355" s="13">
        <f t="shared" si="56"/>
        <v>45513</v>
      </c>
      <c r="K355" s="14">
        <f t="shared" si="55"/>
        <v>45513</v>
      </c>
      <c r="L355" s="15">
        <f t="shared" si="57"/>
        <v>45513</v>
      </c>
      <c r="M355" s="18" t="s">
        <v>39</v>
      </c>
    </row>
    <row r="356" spans="8:13" x14ac:dyDescent="0.25">
      <c r="H356" s="18" t="s">
        <v>56</v>
      </c>
      <c r="I356" s="3">
        <v>2025</v>
      </c>
      <c r="J356" s="13">
        <f t="shared" si="56"/>
        <v>45878</v>
      </c>
      <c r="K356" s="14">
        <f t="shared" si="55"/>
        <v>45878</v>
      </c>
      <c r="L356" s="15">
        <f t="shared" si="57"/>
        <v>45878</v>
      </c>
      <c r="M356" s="18" t="s">
        <v>39</v>
      </c>
    </row>
    <row r="357" spans="8:13" x14ac:dyDescent="0.25">
      <c r="H357" s="18" t="s">
        <v>56</v>
      </c>
      <c r="I357" s="3">
        <v>2026</v>
      </c>
      <c r="J357" s="13">
        <f t="shared" si="56"/>
        <v>46243</v>
      </c>
      <c r="K357" s="14">
        <f t="shared" si="55"/>
        <v>46243</v>
      </c>
      <c r="L357" s="15">
        <f t="shared" si="57"/>
        <v>46243</v>
      </c>
      <c r="M357" s="18" t="s">
        <v>39</v>
      </c>
    </row>
    <row r="358" spans="8:13" x14ac:dyDescent="0.25">
      <c r="H358" s="18" t="s">
        <v>56</v>
      </c>
      <c r="I358" s="3">
        <v>2027</v>
      </c>
      <c r="J358" s="13">
        <f t="shared" si="56"/>
        <v>46608</v>
      </c>
      <c r="K358" s="14">
        <f t="shared" si="55"/>
        <v>46608</v>
      </c>
      <c r="L358" s="15">
        <f t="shared" si="57"/>
        <v>46608</v>
      </c>
      <c r="M358" s="18" t="s">
        <v>39</v>
      </c>
    </row>
    <row r="359" spans="8:13" x14ac:dyDescent="0.25">
      <c r="H359" s="18" t="s">
        <v>56</v>
      </c>
      <c r="I359" s="3">
        <v>2028</v>
      </c>
      <c r="J359" s="13">
        <f t="shared" si="56"/>
        <v>46974</v>
      </c>
      <c r="K359" s="14">
        <f t="shared" si="55"/>
        <v>46974</v>
      </c>
      <c r="L359" s="15">
        <f t="shared" si="57"/>
        <v>46974</v>
      </c>
      <c r="M359" s="18" t="s">
        <v>39</v>
      </c>
    </row>
    <row r="360" spans="8:13" x14ac:dyDescent="0.25">
      <c r="H360" s="18" t="s">
        <v>56</v>
      </c>
      <c r="I360" s="3">
        <v>2029</v>
      </c>
      <c r="J360" s="13">
        <f t="shared" si="56"/>
        <v>47339</v>
      </c>
      <c r="K360" s="14">
        <f t="shared" si="55"/>
        <v>47339</v>
      </c>
      <c r="L360" s="15">
        <f t="shared" si="57"/>
        <v>47339</v>
      </c>
      <c r="M360" s="18" t="s">
        <v>39</v>
      </c>
    </row>
    <row r="361" spans="8:13" x14ac:dyDescent="0.25">
      <c r="H361" s="18" t="s">
        <v>56</v>
      </c>
      <c r="I361" s="3">
        <v>2030</v>
      </c>
      <c r="J361" s="13">
        <f t="shared" si="56"/>
        <v>47704</v>
      </c>
      <c r="K361" s="14">
        <f t="shared" si="55"/>
        <v>47704</v>
      </c>
      <c r="L361" s="15">
        <f t="shared" si="57"/>
        <v>47704</v>
      </c>
      <c r="M361" s="18" t="s">
        <v>39</v>
      </c>
    </row>
    <row r="362" spans="8:13" x14ac:dyDescent="0.25">
      <c r="H362" s="18" t="s">
        <v>57</v>
      </c>
      <c r="I362" s="3">
        <v>2013</v>
      </c>
      <c r="J362" s="13">
        <f>CONCATENATE("10/08/",$I362)*1</f>
        <v>41496</v>
      </c>
      <c r="K362" s="14">
        <f t="shared" si="55"/>
        <v>41496</v>
      </c>
      <c r="L362" s="15">
        <f t="shared" si="57"/>
        <v>41496</v>
      </c>
      <c r="M362" s="18" t="s">
        <v>39</v>
      </c>
    </row>
    <row r="363" spans="8:13" x14ac:dyDescent="0.25">
      <c r="H363" s="18" t="s">
        <v>57</v>
      </c>
      <c r="I363" s="3">
        <v>2014</v>
      </c>
      <c r="J363" s="13">
        <f t="shared" ref="J363:J379" si="58">CONCATENATE("10/08/",$I363)*1</f>
        <v>41861</v>
      </c>
      <c r="K363" s="14">
        <f t="shared" si="55"/>
        <v>41861</v>
      </c>
      <c r="L363" s="15">
        <f t="shared" ref="L363:L380" si="59">J363</f>
        <v>41861</v>
      </c>
      <c r="M363" s="18" t="s">
        <v>39</v>
      </c>
    </row>
    <row r="364" spans="8:13" x14ac:dyDescent="0.25">
      <c r="H364" s="18" t="s">
        <v>57</v>
      </c>
      <c r="I364" s="3">
        <v>2015</v>
      </c>
      <c r="J364" s="13">
        <f t="shared" si="58"/>
        <v>42226</v>
      </c>
      <c r="K364" s="14">
        <f t="shared" si="55"/>
        <v>42226</v>
      </c>
      <c r="L364" s="15">
        <f t="shared" si="59"/>
        <v>42226</v>
      </c>
      <c r="M364" s="18" t="s">
        <v>39</v>
      </c>
    </row>
    <row r="365" spans="8:13" x14ac:dyDescent="0.25">
      <c r="H365" s="18" t="s">
        <v>57</v>
      </c>
      <c r="I365" s="3">
        <v>2016</v>
      </c>
      <c r="J365" s="13">
        <f t="shared" si="58"/>
        <v>42592</v>
      </c>
      <c r="K365" s="14">
        <f t="shared" si="55"/>
        <v>42592</v>
      </c>
      <c r="L365" s="15">
        <f t="shared" si="59"/>
        <v>42592</v>
      </c>
      <c r="M365" s="18" t="s">
        <v>39</v>
      </c>
    </row>
    <row r="366" spans="8:13" x14ac:dyDescent="0.25">
      <c r="H366" s="18" t="s">
        <v>57</v>
      </c>
      <c r="I366" s="3">
        <v>2017</v>
      </c>
      <c r="J366" s="13">
        <f t="shared" si="58"/>
        <v>42957</v>
      </c>
      <c r="K366" s="14">
        <f t="shared" si="55"/>
        <v>42957</v>
      </c>
      <c r="L366" s="15">
        <f t="shared" si="59"/>
        <v>42957</v>
      </c>
      <c r="M366" s="18" t="s">
        <v>39</v>
      </c>
    </row>
    <row r="367" spans="8:13" x14ac:dyDescent="0.25">
      <c r="H367" s="18" t="s">
        <v>57</v>
      </c>
      <c r="I367" s="3">
        <v>2018</v>
      </c>
      <c r="J367" s="13">
        <f t="shared" si="58"/>
        <v>43322</v>
      </c>
      <c r="K367" s="14">
        <f t="shared" si="55"/>
        <v>43322</v>
      </c>
      <c r="L367" s="15">
        <f t="shared" si="59"/>
        <v>43322</v>
      </c>
      <c r="M367" s="18" t="s">
        <v>39</v>
      </c>
    </row>
    <row r="368" spans="8:13" x14ac:dyDescent="0.25">
      <c r="H368" s="18" t="s">
        <v>57</v>
      </c>
      <c r="I368" s="3">
        <v>2019</v>
      </c>
      <c r="J368" s="13">
        <f t="shared" si="58"/>
        <v>43687</v>
      </c>
      <c r="K368" s="14">
        <f t="shared" si="55"/>
        <v>43687</v>
      </c>
      <c r="L368" s="15">
        <f t="shared" si="59"/>
        <v>43687</v>
      </c>
      <c r="M368" s="18" t="s">
        <v>39</v>
      </c>
    </row>
    <row r="369" spans="8:13" x14ac:dyDescent="0.25">
      <c r="H369" s="18" t="s">
        <v>57</v>
      </c>
      <c r="I369" s="3">
        <v>2020</v>
      </c>
      <c r="J369" s="13">
        <f t="shared" si="58"/>
        <v>44053</v>
      </c>
      <c r="K369" s="14">
        <f t="shared" si="55"/>
        <v>44053</v>
      </c>
      <c r="L369" s="15">
        <f t="shared" si="59"/>
        <v>44053</v>
      </c>
      <c r="M369" s="18" t="s">
        <v>39</v>
      </c>
    </row>
    <row r="370" spans="8:13" x14ac:dyDescent="0.25">
      <c r="H370" s="18" t="s">
        <v>57</v>
      </c>
      <c r="I370" s="3">
        <v>2021</v>
      </c>
      <c r="J370" s="13">
        <f t="shared" si="58"/>
        <v>44418</v>
      </c>
      <c r="K370" s="14">
        <f t="shared" si="55"/>
        <v>44418</v>
      </c>
      <c r="L370" s="15">
        <f t="shared" si="59"/>
        <v>44418</v>
      </c>
      <c r="M370" s="18" t="s">
        <v>39</v>
      </c>
    </row>
    <row r="371" spans="8:13" x14ac:dyDescent="0.25">
      <c r="H371" s="18" t="s">
        <v>57</v>
      </c>
      <c r="I371" s="3">
        <v>2022</v>
      </c>
      <c r="J371" s="13">
        <f t="shared" si="58"/>
        <v>44783</v>
      </c>
      <c r="K371" s="14">
        <f t="shared" si="55"/>
        <v>44783</v>
      </c>
      <c r="L371" s="15">
        <f t="shared" si="59"/>
        <v>44783</v>
      </c>
      <c r="M371" s="18" t="s">
        <v>39</v>
      </c>
    </row>
    <row r="372" spans="8:13" x14ac:dyDescent="0.25">
      <c r="H372" s="18" t="s">
        <v>57</v>
      </c>
      <c r="I372" s="3">
        <v>2023</v>
      </c>
      <c r="J372" s="13">
        <f t="shared" si="58"/>
        <v>45148</v>
      </c>
      <c r="K372" s="14">
        <f t="shared" si="55"/>
        <v>45148</v>
      </c>
      <c r="L372" s="15">
        <f t="shared" si="59"/>
        <v>45148</v>
      </c>
      <c r="M372" s="18" t="s">
        <v>39</v>
      </c>
    </row>
    <row r="373" spans="8:13" x14ac:dyDescent="0.25">
      <c r="H373" s="18" t="s">
        <v>57</v>
      </c>
      <c r="I373" s="3">
        <v>2024</v>
      </c>
      <c r="J373" s="13">
        <f t="shared" si="58"/>
        <v>45514</v>
      </c>
      <c r="K373" s="14">
        <f t="shared" si="55"/>
        <v>45514</v>
      </c>
      <c r="L373" s="15">
        <f t="shared" si="59"/>
        <v>45514</v>
      </c>
      <c r="M373" s="18" t="s">
        <v>39</v>
      </c>
    </row>
    <row r="374" spans="8:13" x14ac:dyDescent="0.25">
      <c r="H374" s="18" t="s">
        <v>57</v>
      </c>
      <c r="I374" s="3">
        <v>2025</v>
      </c>
      <c r="J374" s="13">
        <f t="shared" si="58"/>
        <v>45879</v>
      </c>
      <c r="K374" s="14">
        <f t="shared" si="55"/>
        <v>45879</v>
      </c>
      <c r="L374" s="15">
        <f t="shared" si="59"/>
        <v>45879</v>
      </c>
      <c r="M374" s="18" t="s">
        <v>39</v>
      </c>
    </row>
    <row r="375" spans="8:13" x14ac:dyDescent="0.25">
      <c r="H375" s="18" t="s">
        <v>57</v>
      </c>
      <c r="I375" s="3">
        <v>2026</v>
      </c>
      <c r="J375" s="13">
        <f t="shared" si="58"/>
        <v>46244</v>
      </c>
      <c r="K375" s="14">
        <f t="shared" si="55"/>
        <v>46244</v>
      </c>
      <c r="L375" s="15">
        <f t="shared" si="59"/>
        <v>46244</v>
      </c>
      <c r="M375" s="18" t="s">
        <v>39</v>
      </c>
    </row>
    <row r="376" spans="8:13" x14ac:dyDescent="0.25">
      <c r="H376" s="18" t="s">
        <v>57</v>
      </c>
      <c r="I376" s="3">
        <v>2027</v>
      </c>
      <c r="J376" s="13">
        <f t="shared" si="58"/>
        <v>46609</v>
      </c>
      <c r="K376" s="14">
        <f t="shared" si="55"/>
        <v>46609</v>
      </c>
      <c r="L376" s="15">
        <f t="shared" si="59"/>
        <v>46609</v>
      </c>
      <c r="M376" s="18" t="s">
        <v>39</v>
      </c>
    </row>
    <row r="377" spans="8:13" x14ac:dyDescent="0.25">
      <c r="H377" s="18" t="s">
        <v>57</v>
      </c>
      <c r="I377" s="3">
        <v>2028</v>
      </c>
      <c r="J377" s="13">
        <f t="shared" si="58"/>
        <v>46975</v>
      </c>
      <c r="K377" s="14">
        <f t="shared" si="55"/>
        <v>46975</v>
      </c>
      <c r="L377" s="15">
        <f t="shared" si="59"/>
        <v>46975</v>
      </c>
      <c r="M377" s="18" t="s">
        <v>39</v>
      </c>
    </row>
    <row r="378" spans="8:13" x14ac:dyDescent="0.25">
      <c r="H378" s="18" t="s">
        <v>57</v>
      </c>
      <c r="I378" s="3">
        <v>2029</v>
      </c>
      <c r="J378" s="13">
        <f t="shared" si="58"/>
        <v>47340</v>
      </c>
      <c r="K378" s="14">
        <f t="shared" si="55"/>
        <v>47340</v>
      </c>
      <c r="L378" s="15">
        <f t="shared" si="59"/>
        <v>47340</v>
      </c>
      <c r="M378" s="18" t="s">
        <v>39</v>
      </c>
    </row>
    <row r="379" spans="8:13" x14ac:dyDescent="0.25">
      <c r="H379" s="18" t="s">
        <v>57</v>
      </c>
      <c r="I379" s="3">
        <v>2030</v>
      </c>
      <c r="J379" s="13">
        <f t="shared" si="58"/>
        <v>47705</v>
      </c>
      <c r="K379" s="14">
        <f t="shared" si="55"/>
        <v>47705</v>
      </c>
      <c r="L379" s="15">
        <f t="shared" si="59"/>
        <v>47705</v>
      </c>
      <c r="M379" s="18" t="s">
        <v>39</v>
      </c>
    </row>
    <row r="380" spans="8:13" x14ac:dyDescent="0.25">
      <c r="H380" s="18" t="s">
        <v>58</v>
      </c>
      <c r="I380" s="3">
        <v>2013</v>
      </c>
      <c r="J380" s="13">
        <f>CONCATENATE("11/08/",$I380)*1</f>
        <v>41497</v>
      </c>
      <c r="K380" s="14">
        <f t="shared" si="55"/>
        <v>41497</v>
      </c>
      <c r="L380" s="15">
        <f t="shared" si="59"/>
        <v>41497</v>
      </c>
      <c r="M380" s="18" t="s">
        <v>39</v>
      </c>
    </row>
    <row r="381" spans="8:13" x14ac:dyDescent="0.25">
      <c r="H381" s="18" t="s">
        <v>58</v>
      </c>
      <c r="I381" s="3">
        <v>2014</v>
      </c>
      <c r="J381" s="13">
        <f t="shared" ref="J381:J397" si="60">CONCATENATE("11/08/",$I381)*1</f>
        <v>41862</v>
      </c>
      <c r="K381" s="14">
        <f t="shared" si="55"/>
        <v>41862</v>
      </c>
      <c r="L381" s="15">
        <f t="shared" ref="L381:L398" si="61">J381</f>
        <v>41862</v>
      </c>
      <c r="M381" s="18" t="s">
        <v>39</v>
      </c>
    </row>
    <row r="382" spans="8:13" x14ac:dyDescent="0.25">
      <c r="H382" s="18" t="s">
        <v>58</v>
      </c>
      <c r="I382" s="3">
        <v>2015</v>
      </c>
      <c r="J382" s="13">
        <f t="shared" si="60"/>
        <v>42227</v>
      </c>
      <c r="K382" s="14">
        <f t="shared" si="55"/>
        <v>42227</v>
      </c>
      <c r="L382" s="15">
        <f t="shared" si="61"/>
        <v>42227</v>
      </c>
      <c r="M382" s="18" t="s">
        <v>39</v>
      </c>
    </row>
    <row r="383" spans="8:13" x14ac:dyDescent="0.25">
      <c r="H383" s="18" t="s">
        <v>58</v>
      </c>
      <c r="I383" s="3">
        <v>2016</v>
      </c>
      <c r="J383" s="13">
        <f t="shared" si="60"/>
        <v>42593</v>
      </c>
      <c r="K383" s="14">
        <f t="shared" si="55"/>
        <v>42593</v>
      </c>
      <c r="L383" s="15">
        <f t="shared" si="61"/>
        <v>42593</v>
      </c>
      <c r="M383" s="18" t="s">
        <v>39</v>
      </c>
    </row>
    <row r="384" spans="8:13" x14ac:dyDescent="0.25">
      <c r="H384" s="18" t="s">
        <v>58</v>
      </c>
      <c r="I384" s="3">
        <v>2017</v>
      </c>
      <c r="J384" s="13">
        <f t="shared" si="60"/>
        <v>42958</v>
      </c>
      <c r="K384" s="14">
        <f t="shared" si="55"/>
        <v>42958</v>
      </c>
      <c r="L384" s="15">
        <f t="shared" si="61"/>
        <v>42958</v>
      </c>
      <c r="M384" s="18" t="s">
        <v>39</v>
      </c>
    </row>
    <row r="385" spans="8:13" x14ac:dyDescent="0.25">
      <c r="H385" s="18" t="s">
        <v>58</v>
      </c>
      <c r="I385" s="3">
        <v>2018</v>
      </c>
      <c r="J385" s="13">
        <f t="shared" si="60"/>
        <v>43323</v>
      </c>
      <c r="K385" s="14">
        <f t="shared" si="55"/>
        <v>43323</v>
      </c>
      <c r="L385" s="15">
        <f t="shared" si="61"/>
        <v>43323</v>
      </c>
      <c r="M385" s="18" t="s">
        <v>39</v>
      </c>
    </row>
    <row r="386" spans="8:13" x14ac:dyDescent="0.25">
      <c r="H386" s="18" t="s">
        <v>58</v>
      </c>
      <c r="I386" s="3">
        <v>2019</v>
      </c>
      <c r="J386" s="13">
        <f t="shared" si="60"/>
        <v>43688</v>
      </c>
      <c r="K386" s="14">
        <f t="shared" si="55"/>
        <v>43688</v>
      </c>
      <c r="L386" s="15">
        <f t="shared" si="61"/>
        <v>43688</v>
      </c>
      <c r="M386" s="18" t="s">
        <v>39</v>
      </c>
    </row>
    <row r="387" spans="8:13" x14ac:dyDescent="0.25">
      <c r="H387" s="18" t="s">
        <v>58</v>
      </c>
      <c r="I387" s="3">
        <v>2020</v>
      </c>
      <c r="J387" s="13">
        <f t="shared" si="60"/>
        <v>44054</v>
      </c>
      <c r="K387" s="14">
        <f t="shared" si="55"/>
        <v>44054</v>
      </c>
      <c r="L387" s="15">
        <f t="shared" si="61"/>
        <v>44054</v>
      </c>
      <c r="M387" s="18" t="s">
        <v>39</v>
      </c>
    </row>
    <row r="388" spans="8:13" x14ac:dyDescent="0.25">
      <c r="H388" s="18" t="s">
        <v>58</v>
      </c>
      <c r="I388" s="3">
        <v>2021</v>
      </c>
      <c r="J388" s="13">
        <f t="shared" si="60"/>
        <v>44419</v>
      </c>
      <c r="K388" s="14">
        <f t="shared" si="55"/>
        <v>44419</v>
      </c>
      <c r="L388" s="15">
        <f t="shared" si="61"/>
        <v>44419</v>
      </c>
      <c r="M388" s="18" t="s">
        <v>39</v>
      </c>
    </row>
    <row r="389" spans="8:13" x14ac:dyDescent="0.25">
      <c r="H389" s="18" t="s">
        <v>58</v>
      </c>
      <c r="I389" s="3">
        <v>2022</v>
      </c>
      <c r="J389" s="13">
        <f t="shared" si="60"/>
        <v>44784</v>
      </c>
      <c r="K389" s="14">
        <f t="shared" si="55"/>
        <v>44784</v>
      </c>
      <c r="L389" s="15">
        <f t="shared" si="61"/>
        <v>44784</v>
      </c>
      <c r="M389" s="18" t="s">
        <v>39</v>
      </c>
    </row>
    <row r="390" spans="8:13" x14ac:dyDescent="0.25">
      <c r="H390" s="18" t="s">
        <v>58</v>
      </c>
      <c r="I390" s="3">
        <v>2023</v>
      </c>
      <c r="J390" s="13">
        <f t="shared" si="60"/>
        <v>45149</v>
      </c>
      <c r="K390" s="14">
        <f t="shared" si="55"/>
        <v>45149</v>
      </c>
      <c r="L390" s="15">
        <f t="shared" si="61"/>
        <v>45149</v>
      </c>
      <c r="M390" s="18" t="s">
        <v>39</v>
      </c>
    </row>
    <row r="391" spans="8:13" x14ac:dyDescent="0.25">
      <c r="H391" s="18" t="s">
        <v>58</v>
      </c>
      <c r="I391" s="3">
        <v>2024</v>
      </c>
      <c r="J391" s="13">
        <f t="shared" si="60"/>
        <v>45515</v>
      </c>
      <c r="K391" s="14">
        <f t="shared" si="55"/>
        <v>45515</v>
      </c>
      <c r="L391" s="15">
        <f t="shared" si="61"/>
        <v>45515</v>
      </c>
      <c r="M391" s="18" t="s">
        <v>39</v>
      </c>
    </row>
    <row r="392" spans="8:13" x14ac:dyDescent="0.25">
      <c r="H392" s="18" t="s">
        <v>58</v>
      </c>
      <c r="I392" s="3">
        <v>2025</v>
      </c>
      <c r="J392" s="13">
        <f t="shared" si="60"/>
        <v>45880</v>
      </c>
      <c r="K392" s="14">
        <f t="shared" ref="K392:K455" si="62">J392</f>
        <v>45880</v>
      </c>
      <c r="L392" s="15">
        <f t="shared" si="61"/>
        <v>45880</v>
      </c>
      <c r="M392" s="18" t="s">
        <v>39</v>
      </c>
    </row>
    <row r="393" spans="8:13" x14ac:dyDescent="0.25">
      <c r="H393" s="18" t="s">
        <v>58</v>
      </c>
      <c r="I393" s="3">
        <v>2026</v>
      </c>
      <c r="J393" s="13">
        <f t="shared" si="60"/>
        <v>46245</v>
      </c>
      <c r="K393" s="14">
        <f t="shared" si="62"/>
        <v>46245</v>
      </c>
      <c r="L393" s="15">
        <f t="shared" si="61"/>
        <v>46245</v>
      </c>
      <c r="M393" s="18" t="s">
        <v>39</v>
      </c>
    </row>
    <row r="394" spans="8:13" x14ac:dyDescent="0.25">
      <c r="H394" s="18" t="s">
        <v>58</v>
      </c>
      <c r="I394" s="3">
        <v>2027</v>
      </c>
      <c r="J394" s="13">
        <f t="shared" si="60"/>
        <v>46610</v>
      </c>
      <c r="K394" s="14">
        <f t="shared" si="62"/>
        <v>46610</v>
      </c>
      <c r="L394" s="15">
        <f t="shared" si="61"/>
        <v>46610</v>
      </c>
      <c r="M394" s="18" t="s">
        <v>39</v>
      </c>
    </row>
    <row r="395" spans="8:13" x14ac:dyDescent="0.25">
      <c r="H395" s="18" t="s">
        <v>58</v>
      </c>
      <c r="I395" s="3">
        <v>2028</v>
      </c>
      <c r="J395" s="13">
        <f t="shared" si="60"/>
        <v>46976</v>
      </c>
      <c r="K395" s="14">
        <f t="shared" si="62"/>
        <v>46976</v>
      </c>
      <c r="L395" s="15">
        <f t="shared" si="61"/>
        <v>46976</v>
      </c>
      <c r="M395" s="18" t="s">
        <v>39</v>
      </c>
    </row>
    <row r="396" spans="8:13" x14ac:dyDescent="0.25">
      <c r="H396" s="18" t="s">
        <v>58</v>
      </c>
      <c r="I396" s="3">
        <v>2029</v>
      </c>
      <c r="J396" s="13">
        <f t="shared" si="60"/>
        <v>47341</v>
      </c>
      <c r="K396" s="14">
        <f t="shared" si="62"/>
        <v>47341</v>
      </c>
      <c r="L396" s="15">
        <f t="shared" si="61"/>
        <v>47341</v>
      </c>
      <c r="M396" s="18" t="s">
        <v>39</v>
      </c>
    </row>
    <row r="397" spans="8:13" x14ac:dyDescent="0.25">
      <c r="H397" s="18" t="s">
        <v>58</v>
      </c>
      <c r="I397" s="3">
        <v>2030</v>
      </c>
      <c r="J397" s="13">
        <f t="shared" si="60"/>
        <v>47706</v>
      </c>
      <c r="K397" s="14">
        <f t="shared" si="62"/>
        <v>47706</v>
      </c>
      <c r="L397" s="15">
        <f t="shared" si="61"/>
        <v>47706</v>
      </c>
      <c r="M397" s="18" t="s">
        <v>39</v>
      </c>
    </row>
    <row r="398" spans="8:13" x14ac:dyDescent="0.25">
      <c r="H398" s="18" t="s">
        <v>59</v>
      </c>
      <c r="I398" s="3">
        <v>2013</v>
      </c>
      <c r="J398" s="13">
        <f>CONCATENATE("12/08/",$I398)*1</f>
        <v>41498</v>
      </c>
      <c r="K398" s="14">
        <f t="shared" si="62"/>
        <v>41498</v>
      </c>
      <c r="L398" s="15">
        <f t="shared" si="61"/>
        <v>41498</v>
      </c>
      <c r="M398" s="18" t="s">
        <v>39</v>
      </c>
    </row>
    <row r="399" spans="8:13" x14ac:dyDescent="0.25">
      <c r="H399" s="18" t="s">
        <v>59</v>
      </c>
      <c r="I399" s="3">
        <v>2014</v>
      </c>
      <c r="J399" s="13">
        <f t="shared" ref="J399:J415" si="63">CONCATENATE("12/08/",$I399)*1</f>
        <v>41863</v>
      </c>
      <c r="K399" s="14">
        <f t="shared" si="62"/>
        <v>41863</v>
      </c>
      <c r="L399" s="15">
        <f t="shared" ref="L399:L416" si="64">J399</f>
        <v>41863</v>
      </c>
      <c r="M399" s="18" t="s">
        <v>39</v>
      </c>
    </row>
    <row r="400" spans="8:13" x14ac:dyDescent="0.25">
      <c r="H400" s="18" t="s">
        <v>59</v>
      </c>
      <c r="I400" s="3">
        <v>2015</v>
      </c>
      <c r="J400" s="13">
        <f t="shared" si="63"/>
        <v>42228</v>
      </c>
      <c r="K400" s="14">
        <f t="shared" si="62"/>
        <v>42228</v>
      </c>
      <c r="L400" s="15">
        <f t="shared" si="64"/>
        <v>42228</v>
      </c>
      <c r="M400" s="18" t="s">
        <v>39</v>
      </c>
    </row>
    <row r="401" spans="8:13" x14ac:dyDescent="0.25">
      <c r="H401" s="18" t="s">
        <v>59</v>
      </c>
      <c r="I401" s="3">
        <v>2016</v>
      </c>
      <c r="J401" s="13">
        <f t="shared" si="63"/>
        <v>42594</v>
      </c>
      <c r="K401" s="14">
        <f t="shared" si="62"/>
        <v>42594</v>
      </c>
      <c r="L401" s="15">
        <f t="shared" si="64"/>
        <v>42594</v>
      </c>
      <c r="M401" s="18" t="s">
        <v>39</v>
      </c>
    </row>
    <row r="402" spans="8:13" x14ac:dyDescent="0.25">
      <c r="H402" s="18" t="s">
        <v>59</v>
      </c>
      <c r="I402" s="3">
        <v>2017</v>
      </c>
      <c r="J402" s="13">
        <f t="shared" si="63"/>
        <v>42959</v>
      </c>
      <c r="K402" s="14">
        <f t="shared" si="62"/>
        <v>42959</v>
      </c>
      <c r="L402" s="15">
        <f t="shared" si="64"/>
        <v>42959</v>
      </c>
      <c r="M402" s="18" t="s">
        <v>39</v>
      </c>
    </row>
    <row r="403" spans="8:13" x14ac:dyDescent="0.25">
      <c r="H403" s="18" t="s">
        <v>59</v>
      </c>
      <c r="I403" s="3">
        <v>2018</v>
      </c>
      <c r="J403" s="13">
        <f t="shared" si="63"/>
        <v>43324</v>
      </c>
      <c r="K403" s="14">
        <f t="shared" si="62"/>
        <v>43324</v>
      </c>
      <c r="L403" s="15">
        <f t="shared" si="64"/>
        <v>43324</v>
      </c>
      <c r="M403" s="18" t="s">
        <v>39</v>
      </c>
    </row>
    <row r="404" spans="8:13" x14ac:dyDescent="0.25">
      <c r="H404" s="18" t="s">
        <v>59</v>
      </c>
      <c r="I404" s="3">
        <v>2019</v>
      </c>
      <c r="J404" s="13">
        <f t="shared" si="63"/>
        <v>43689</v>
      </c>
      <c r="K404" s="14">
        <f t="shared" si="62"/>
        <v>43689</v>
      </c>
      <c r="L404" s="15">
        <f t="shared" si="64"/>
        <v>43689</v>
      </c>
      <c r="M404" s="18" t="s">
        <v>39</v>
      </c>
    </row>
    <row r="405" spans="8:13" x14ac:dyDescent="0.25">
      <c r="H405" s="18" t="s">
        <v>59</v>
      </c>
      <c r="I405" s="3">
        <v>2020</v>
      </c>
      <c r="J405" s="13">
        <f t="shared" si="63"/>
        <v>44055</v>
      </c>
      <c r="K405" s="14">
        <f t="shared" si="62"/>
        <v>44055</v>
      </c>
      <c r="L405" s="15">
        <f t="shared" si="64"/>
        <v>44055</v>
      </c>
      <c r="M405" s="18" t="s">
        <v>39</v>
      </c>
    </row>
    <row r="406" spans="8:13" x14ac:dyDescent="0.25">
      <c r="H406" s="18" t="s">
        <v>59</v>
      </c>
      <c r="I406" s="3">
        <v>2021</v>
      </c>
      <c r="J406" s="13">
        <f t="shared" si="63"/>
        <v>44420</v>
      </c>
      <c r="K406" s="14">
        <f t="shared" si="62"/>
        <v>44420</v>
      </c>
      <c r="L406" s="15">
        <f t="shared" si="64"/>
        <v>44420</v>
      </c>
      <c r="M406" s="18" t="s">
        <v>39</v>
      </c>
    </row>
    <row r="407" spans="8:13" x14ac:dyDescent="0.25">
      <c r="H407" s="18" t="s">
        <v>59</v>
      </c>
      <c r="I407" s="3">
        <v>2022</v>
      </c>
      <c r="J407" s="13">
        <f t="shared" si="63"/>
        <v>44785</v>
      </c>
      <c r="K407" s="14">
        <f t="shared" si="62"/>
        <v>44785</v>
      </c>
      <c r="L407" s="15">
        <f t="shared" si="64"/>
        <v>44785</v>
      </c>
      <c r="M407" s="18" t="s">
        <v>39</v>
      </c>
    </row>
    <row r="408" spans="8:13" x14ac:dyDescent="0.25">
      <c r="H408" s="18" t="s">
        <v>59</v>
      </c>
      <c r="I408" s="3">
        <v>2023</v>
      </c>
      <c r="J408" s="13">
        <f t="shared" si="63"/>
        <v>45150</v>
      </c>
      <c r="K408" s="14">
        <f t="shared" si="62"/>
        <v>45150</v>
      </c>
      <c r="L408" s="15">
        <f t="shared" si="64"/>
        <v>45150</v>
      </c>
      <c r="M408" s="18" t="s">
        <v>39</v>
      </c>
    </row>
    <row r="409" spans="8:13" x14ac:dyDescent="0.25">
      <c r="H409" s="18" t="s">
        <v>59</v>
      </c>
      <c r="I409" s="3">
        <v>2024</v>
      </c>
      <c r="J409" s="13">
        <f t="shared" si="63"/>
        <v>45516</v>
      </c>
      <c r="K409" s="14">
        <f t="shared" si="62"/>
        <v>45516</v>
      </c>
      <c r="L409" s="15">
        <f t="shared" si="64"/>
        <v>45516</v>
      </c>
      <c r="M409" s="18" t="s">
        <v>39</v>
      </c>
    </row>
    <row r="410" spans="8:13" x14ac:dyDescent="0.25">
      <c r="H410" s="18" t="s">
        <v>59</v>
      </c>
      <c r="I410" s="3">
        <v>2025</v>
      </c>
      <c r="J410" s="13">
        <f t="shared" si="63"/>
        <v>45881</v>
      </c>
      <c r="K410" s="14">
        <f t="shared" si="62"/>
        <v>45881</v>
      </c>
      <c r="L410" s="15">
        <f t="shared" si="64"/>
        <v>45881</v>
      </c>
      <c r="M410" s="18" t="s">
        <v>39</v>
      </c>
    </row>
    <row r="411" spans="8:13" x14ac:dyDescent="0.25">
      <c r="H411" s="18" t="s">
        <v>59</v>
      </c>
      <c r="I411" s="3">
        <v>2026</v>
      </c>
      <c r="J411" s="13">
        <f t="shared" si="63"/>
        <v>46246</v>
      </c>
      <c r="K411" s="14">
        <f t="shared" si="62"/>
        <v>46246</v>
      </c>
      <c r="L411" s="15">
        <f t="shared" si="64"/>
        <v>46246</v>
      </c>
      <c r="M411" s="18" t="s">
        <v>39</v>
      </c>
    </row>
    <row r="412" spans="8:13" x14ac:dyDescent="0.25">
      <c r="H412" s="18" t="s">
        <v>59</v>
      </c>
      <c r="I412" s="3">
        <v>2027</v>
      </c>
      <c r="J412" s="13">
        <f t="shared" si="63"/>
        <v>46611</v>
      </c>
      <c r="K412" s="14">
        <f t="shared" si="62"/>
        <v>46611</v>
      </c>
      <c r="L412" s="15">
        <f t="shared" si="64"/>
        <v>46611</v>
      </c>
      <c r="M412" s="18" t="s">
        <v>39</v>
      </c>
    </row>
    <row r="413" spans="8:13" x14ac:dyDescent="0.25">
      <c r="H413" s="18" t="s">
        <v>59</v>
      </c>
      <c r="I413" s="3">
        <v>2028</v>
      </c>
      <c r="J413" s="13">
        <f t="shared" si="63"/>
        <v>46977</v>
      </c>
      <c r="K413" s="14">
        <f t="shared" si="62"/>
        <v>46977</v>
      </c>
      <c r="L413" s="15">
        <f t="shared" si="64"/>
        <v>46977</v>
      </c>
      <c r="M413" s="18" t="s">
        <v>39</v>
      </c>
    </row>
    <row r="414" spans="8:13" x14ac:dyDescent="0.25">
      <c r="H414" s="18" t="s">
        <v>59</v>
      </c>
      <c r="I414" s="3">
        <v>2029</v>
      </c>
      <c r="J414" s="13">
        <f t="shared" si="63"/>
        <v>47342</v>
      </c>
      <c r="K414" s="14">
        <f t="shared" si="62"/>
        <v>47342</v>
      </c>
      <c r="L414" s="15">
        <f t="shared" si="64"/>
        <v>47342</v>
      </c>
      <c r="M414" s="18" t="s">
        <v>39</v>
      </c>
    </row>
    <row r="415" spans="8:13" x14ac:dyDescent="0.25">
      <c r="H415" s="18" t="s">
        <v>59</v>
      </c>
      <c r="I415" s="3">
        <v>2030</v>
      </c>
      <c r="J415" s="13">
        <f t="shared" si="63"/>
        <v>47707</v>
      </c>
      <c r="K415" s="14">
        <f t="shared" si="62"/>
        <v>47707</v>
      </c>
      <c r="L415" s="15">
        <f t="shared" si="64"/>
        <v>47707</v>
      </c>
      <c r="M415" s="18" t="s">
        <v>39</v>
      </c>
    </row>
    <row r="416" spans="8:13" x14ac:dyDescent="0.25">
      <c r="H416" s="18" t="s">
        <v>60</v>
      </c>
      <c r="I416" s="3">
        <v>2013</v>
      </c>
      <c r="J416" s="13">
        <f>CONCATENATE("13/08/",$I416)*1</f>
        <v>41499</v>
      </c>
      <c r="K416" s="14">
        <f t="shared" si="62"/>
        <v>41499</v>
      </c>
      <c r="L416" s="15">
        <f t="shared" si="64"/>
        <v>41499</v>
      </c>
      <c r="M416" s="18" t="s">
        <v>39</v>
      </c>
    </row>
    <row r="417" spans="8:13" x14ac:dyDescent="0.25">
      <c r="H417" s="18" t="s">
        <v>60</v>
      </c>
      <c r="I417" s="3">
        <v>2014</v>
      </c>
      <c r="J417" s="13">
        <f t="shared" ref="J417:J433" si="65">CONCATENATE("13/08/",$I417)*1</f>
        <v>41864</v>
      </c>
      <c r="K417" s="14">
        <f t="shared" si="62"/>
        <v>41864</v>
      </c>
      <c r="L417" s="15">
        <f t="shared" ref="L417:L434" si="66">J417</f>
        <v>41864</v>
      </c>
      <c r="M417" s="18" t="s">
        <v>39</v>
      </c>
    </row>
    <row r="418" spans="8:13" x14ac:dyDescent="0.25">
      <c r="H418" s="18" t="s">
        <v>60</v>
      </c>
      <c r="I418" s="3">
        <v>2015</v>
      </c>
      <c r="J418" s="13">
        <f t="shared" si="65"/>
        <v>42229</v>
      </c>
      <c r="K418" s="14">
        <f t="shared" si="62"/>
        <v>42229</v>
      </c>
      <c r="L418" s="15">
        <f t="shared" si="66"/>
        <v>42229</v>
      </c>
      <c r="M418" s="18" t="s">
        <v>39</v>
      </c>
    </row>
    <row r="419" spans="8:13" x14ac:dyDescent="0.25">
      <c r="H419" s="18" t="s">
        <v>60</v>
      </c>
      <c r="I419" s="3">
        <v>2016</v>
      </c>
      <c r="J419" s="13">
        <f t="shared" si="65"/>
        <v>42595</v>
      </c>
      <c r="K419" s="14">
        <f t="shared" si="62"/>
        <v>42595</v>
      </c>
      <c r="L419" s="15">
        <f t="shared" si="66"/>
        <v>42595</v>
      </c>
      <c r="M419" s="18" t="s">
        <v>39</v>
      </c>
    </row>
    <row r="420" spans="8:13" x14ac:dyDescent="0.25">
      <c r="H420" s="18" t="s">
        <v>60</v>
      </c>
      <c r="I420" s="3">
        <v>2017</v>
      </c>
      <c r="J420" s="13">
        <f t="shared" si="65"/>
        <v>42960</v>
      </c>
      <c r="K420" s="14">
        <f t="shared" si="62"/>
        <v>42960</v>
      </c>
      <c r="L420" s="15">
        <f t="shared" si="66"/>
        <v>42960</v>
      </c>
      <c r="M420" s="18" t="s">
        <v>39</v>
      </c>
    </row>
    <row r="421" spans="8:13" x14ac:dyDescent="0.25">
      <c r="H421" s="18" t="s">
        <v>60</v>
      </c>
      <c r="I421" s="3">
        <v>2018</v>
      </c>
      <c r="J421" s="13">
        <f t="shared" si="65"/>
        <v>43325</v>
      </c>
      <c r="K421" s="14">
        <f t="shared" si="62"/>
        <v>43325</v>
      </c>
      <c r="L421" s="15">
        <f t="shared" si="66"/>
        <v>43325</v>
      </c>
      <c r="M421" s="18" t="s">
        <v>39</v>
      </c>
    </row>
    <row r="422" spans="8:13" x14ac:dyDescent="0.25">
      <c r="H422" s="18" t="s">
        <v>60</v>
      </c>
      <c r="I422" s="3">
        <v>2019</v>
      </c>
      <c r="J422" s="13">
        <f t="shared" si="65"/>
        <v>43690</v>
      </c>
      <c r="K422" s="14">
        <f t="shared" si="62"/>
        <v>43690</v>
      </c>
      <c r="L422" s="15">
        <f t="shared" si="66"/>
        <v>43690</v>
      </c>
      <c r="M422" s="18" t="s">
        <v>39</v>
      </c>
    </row>
    <row r="423" spans="8:13" x14ac:dyDescent="0.25">
      <c r="H423" s="18" t="s">
        <v>60</v>
      </c>
      <c r="I423" s="3">
        <v>2020</v>
      </c>
      <c r="J423" s="13">
        <f t="shared" si="65"/>
        <v>44056</v>
      </c>
      <c r="K423" s="14">
        <f t="shared" si="62"/>
        <v>44056</v>
      </c>
      <c r="L423" s="15">
        <f t="shared" si="66"/>
        <v>44056</v>
      </c>
      <c r="M423" s="18" t="s">
        <v>39</v>
      </c>
    </row>
    <row r="424" spans="8:13" x14ac:dyDescent="0.25">
      <c r="H424" s="18" t="s">
        <v>60</v>
      </c>
      <c r="I424" s="3">
        <v>2021</v>
      </c>
      <c r="J424" s="13">
        <f t="shared" si="65"/>
        <v>44421</v>
      </c>
      <c r="K424" s="14">
        <f t="shared" si="62"/>
        <v>44421</v>
      </c>
      <c r="L424" s="15">
        <f t="shared" si="66"/>
        <v>44421</v>
      </c>
      <c r="M424" s="18" t="s">
        <v>39</v>
      </c>
    </row>
    <row r="425" spans="8:13" x14ac:dyDescent="0.25">
      <c r="H425" s="18" t="s">
        <v>60</v>
      </c>
      <c r="I425" s="3">
        <v>2022</v>
      </c>
      <c r="J425" s="13">
        <f t="shared" si="65"/>
        <v>44786</v>
      </c>
      <c r="K425" s="14">
        <f t="shared" si="62"/>
        <v>44786</v>
      </c>
      <c r="L425" s="15">
        <f t="shared" si="66"/>
        <v>44786</v>
      </c>
      <c r="M425" s="18" t="s">
        <v>39</v>
      </c>
    </row>
    <row r="426" spans="8:13" x14ac:dyDescent="0.25">
      <c r="H426" s="18" t="s">
        <v>60</v>
      </c>
      <c r="I426" s="3">
        <v>2023</v>
      </c>
      <c r="J426" s="13">
        <f t="shared" si="65"/>
        <v>45151</v>
      </c>
      <c r="K426" s="14">
        <f t="shared" si="62"/>
        <v>45151</v>
      </c>
      <c r="L426" s="15">
        <f t="shared" si="66"/>
        <v>45151</v>
      </c>
      <c r="M426" s="18" t="s">
        <v>39</v>
      </c>
    </row>
    <row r="427" spans="8:13" x14ac:dyDescent="0.25">
      <c r="H427" s="18" t="s">
        <v>60</v>
      </c>
      <c r="I427" s="3">
        <v>2024</v>
      </c>
      <c r="J427" s="13">
        <f t="shared" si="65"/>
        <v>45517</v>
      </c>
      <c r="K427" s="14">
        <f t="shared" si="62"/>
        <v>45517</v>
      </c>
      <c r="L427" s="15">
        <f t="shared" si="66"/>
        <v>45517</v>
      </c>
      <c r="M427" s="18" t="s">
        <v>39</v>
      </c>
    </row>
    <row r="428" spans="8:13" x14ac:dyDescent="0.25">
      <c r="H428" s="18" t="s">
        <v>60</v>
      </c>
      <c r="I428" s="3">
        <v>2025</v>
      </c>
      <c r="J428" s="13">
        <f t="shared" si="65"/>
        <v>45882</v>
      </c>
      <c r="K428" s="14">
        <f t="shared" si="62"/>
        <v>45882</v>
      </c>
      <c r="L428" s="15">
        <f t="shared" si="66"/>
        <v>45882</v>
      </c>
      <c r="M428" s="18" t="s">
        <v>39</v>
      </c>
    </row>
    <row r="429" spans="8:13" x14ac:dyDescent="0.25">
      <c r="H429" s="18" t="s">
        <v>60</v>
      </c>
      <c r="I429" s="3">
        <v>2026</v>
      </c>
      <c r="J429" s="13">
        <f t="shared" si="65"/>
        <v>46247</v>
      </c>
      <c r="K429" s="14">
        <f t="shared" si="62"/>
        <v>46247</v>
      </c>
      <c r="L429" s="15">
        <f t="shared" si="66"/>
        <v>46247</v>
      </c>
      <c r="M429" s="18" t="s">
        <v>39</v>
      </c>
    </row>
    <row r="430" spans="8:13" x14ac:dyDescent="0.25">
      <c r="H430" s="18" t="s">
        <v>60</v>
      </c>
      <c r="I430" s="3">
        <v>2027</v>
      </c>
      <c r="J430" s="13">
        <f t="shared" si="65"/>
        <v>46612</v>
      </c>
      <c r="K430" s="14">
        <f t="shared" si="62"/>
        <v>46612</v>
      </c>
      <c r="L430" s="15">
        <f t="shared" si="66"/>
        <v>46612</v>
      </c>
      <c r="M430" s="18" t="s">
        <v>39</v>
      </c>
    </row>
    <row r="431" spans="8:13" x14ac:dyDescent="0.25">
      <c r="H431" s="18" t="s">
        <v>60</v>
      </c>
      <c r="I431" s="3">
        <v>2028</v>
      </c>
      <c r="J431" s="13">
        <f t="shared" si="65"/>
        <v>46978</v>
      </c>
      <c r="K431" s="14">
        <f t="shared" si="62"/>
        <v>46978</v>
      </c>
      <c r="L431" s="15">
        <f t="shared" si="66"/>
        <v>46978</v>
      </c>
      <c r="M431" s="18" t="s">
        <v>39</v>
      </c>
    </row>
    <row r="432" spans="8:13" x14ac:dyDescent="0.25">
      <c r="H432" s="18" t="s">
        <v>60</v>
      </c>
      <c r="I432" s="3">
        <v>2029</v>
      </c>
      <c r="J432" s="13">
        <f t="shared" si="65"/>
        <v>47343</v>
      </c>
      <c r="K432" s="14">
        <f t="shared" si="62"/>
        <v>47343</v>
      </c>
      <c r="L432" s="15">
        <f t="shared" si="66"/>
        <v>47343</v>
      </c>
      <c r="M432" s="18" t="s">
        <v>39</v>
      </c>
    </row>
    <row r="433" spans="8:13" x14ac:dyDescent="0.25">
      <c r="H433" s="18" t="s">
        <v>60</v>
      </c>
      <c r="I433" s="3">
        <v>2030</v>
      </c>
      <c r="J433" s="13">
        <f t="shared" si="65"/>
        <v>47708</v>
      </c>
      <c r="K433" s="14">
        <f t="shared" si="62"/>
        <v>47708</v>
      </c>
      <c r="L433" s="15">
        <f t="shared" si="66"/>
        <v>47708</v>
      </c>
      <c r="M433" s="18" t="s">
        <v>39</v>
      </c>
    </row>
    <row r="434" spans="8:13" x14ac:dyDescent="0.25">
      <c r="H434" s="18" t="s">
        <v>61</v>
      </c>
      <c r="I434" s="3">
        <v>2013</v>
      </c>
      <c r="J434" s="13">
        <f>CONCATENATE("14/08/",$I434)*1</f>
        <v>41500</v>
      </c>
      <c r="K434" s="14">
        <f t="shared" si="62"/>
        <v>41500</v>
      </c>
      <c r="L434" s="15">
        <f t="shared" si="66"/>
        <v>41500</v>
      </c>
      <c r="M434" s="18" t="s">
        <v>39</v>
      </c>
    </row>
    <row r="435" spans="8:13" x14ac:dyDescent="0.25">
      <c r="H435" s="18" t="s">
        <v>61</v>
      </c>
      <c r="I435" s="3">
        <v>2014</v>
      </c>
      <c r="J435" s="13">
        <f t="shared" ref="J435:J451" si="67">CONCATENATE("14/08/",$I435)*1</f>
        <v>41865</v>
      </c>
      <c r="K435" s="14">
        <f t="shared" si="62"/>
        <v>41865</v>
      </c>
      <c r="L435" s="15">
        <f t="shared" ref="L435:L452" si="68">J435</f>
        <v>41865</v>
      </c>
      <c r="M435" s="18" t="s">
        <v>39</v>
      </c>
    </row>
    <row r="436" spans="8:13" x14ac:dyDescent="0.25">
      <c r="H436" s="18" t="s">
        <v>61</v>
      </c>
      <c r="I436" s="3">
        <v>2015</v>
      </c>
      <c r="J436" s="13">
        <f t="shared" si="67"/>
        <v>42230</v>
      </c>
      <c r="K436" s="14">
        <f t="shared" si="62"/>
        <v>42230</v>
      </c>
      <c r="L436" s="15">
        <f t="shared" si="68"/>
        <v>42230</v>
      </c>
      <c r="M436" s="18" t="s">
        <v>39</v>
      </c>
    </row>
    <row r="437" spans="8:13" x14ac:dyDescent="0.25">
      <c r="H437" s="18" t="s">
        <v>61</v>
      </c>
      <c r="I437" s="3">
        <v>2016</v>
      </c>
      <c r="J437" s="13">
        <f t="shared" si="67"/>
        <v>42596</v>
      </c>
      <c r="K437" s="14">
        <f t="shared" si="62"/>
        <v>42596</v>
      </c>
      <c r="L437" s="15">
        <f t="shared" si="68"/>
        <v>42596</v>
      </c>
      <c r="M437" s="18" t="s">
        <v>39</v>
      </c>
    </row>
    <row r="438" spans="8:13" x14ac:dyDescent="0.25">
      <c r="H438" s="18" t="s">
        <v>61</v>
      </c>
      <c r="I438" s="3">
        <v>2017</v>
      </c>
      <c r="J438" s="13">
        <f t="shared" si="67"/>
        <v>42961</v>
      </c>
      <c r="K438" s="14">
        <f t="shared" si="62"/>
        <v>42961</v>
      </c>
      <c r="L438" s="15">
        <f t="shared" si="68"/>
        <v>42961</v>
      </c>
      <c r="M438" s="18" t="s">
        <v>39</v>
      </c>
    </row>
    <row r="439" spans="8:13" x14ac:dyDescent="0.25">
      <c r="H439" s="18" t="s">
        <v>61</v>
      </c>
      <c r="I439" s="3">
        <v>2018</v>
      </c>
      <c r="J439" s="13">
        <f t="shared" si="67"/>
        <v>43326</v>
      </c>
      <c r="K439" s="14">
        <f t="shared" si="62"/>
        <v>43326</v>
      </c>
      <c r="L439" s="15">
        <f t="shared" si="68"/>
        <v>43326</v>
      </c>
      <c r="M439" s="18" t="s">
        <v>39</v>
      </c>
    </row>
    <row r="440" spans="8:13" x14ac:dyDescent="0.25">
      <c r="H440" s="18" t="s">
        <v>61</v>
      </c>
      <c r="I440" s="3">
        <v>2019</v>
      </c>
      <c r="J440" s="13">
        <f t="shared" si="67"/>
        <v>43691</v>
      </c>
      <c r="K440" s="14">
        <f t="shared" si="62"/>
        <v>43691</v>
      </c>
      <c r="L440" s="15">
        <f t="shared" si="68"/>
        <v>43691</v>
      </c>
      <c r="M440" s="18" t="s">
        <v>39</v>
      </c>
    </row>
    <row r="441" spans="8:13" x14ac:dyDescent="0.25">
      <c r="H441" s="18" t="s">
        <v>61</v>
      </c>
      <c r="I441" s="3">
        <v>2020</v>
      </c>
      <c r="J441" s="13">
        <f t="shared" si="67"/>
        <v>44057</v>
      </c>
      <c r="K441" s="14">
        <f t="shared" si="62"/>
        <v>44057</v>
      </c>
      <c r="L441" s="15">
        <f t="shared" si="68"/>
        <v>44057</v>
      </c>
      <c r="M441" s="18" t="s">
        <v>39</v>
      </c>
    </row>
    <row r="442" spans="8:13" x14ac:dyDescent="0.25">
      <c r="H442" s="18" t="s">
        <v>61</v>
      </c>
      <c r="I442" s="3">
        <v>2021</v>
      </c>
      <c r="J442" s="13">
        <f t="shared" si="67"/>
        <v>44422</v>
      </c>
      <c r="K442" s="14">
        <f t="shared" si="62"/>
        <v>44422</v>
      </c>
      <c r="L442" s="15">
        <f t="shared" si="68"/>
        <v>44422</v>
      </c>
      <c r="M442" s="18" t="s">
        <v>39</v>
      </c>
    </row>
    <row r="443" spans="8:13" x14ac:dyDescent="0.25">
      <c r="H443" s="18" t="s">
        <v>61</v>
      </c>
      <c r="I443" s="3">
        <v>2022</v>
      </c>
      <c r="J443" s="13">
        <f t="shared" si="67"/>
        <v>44787</v>
      </c>
      <c r="K443" s="14">
        <f t="shared" si="62"/>
        <v>44787</v>
      </c>
      <c r="L443" s="15">
        <f t="shared" si="68"/>
        <v>44787</v>
      </c>
      <c r="M443" s="18" t="s">
        <v>39</v>
      </c>
    </row>
    <row r="444" spans="8:13" x14ac:dyDescent="0.25">
      <c r="H444" s="18" t="s">
        <v>61</v>
      </c>
      <c r="I444" s="3">
        <v>2023</v>
      </c>
      <c r="J444" s="13">
        <f t="shared" si="67"/>
        <v>45152</v>
      </c>
      <c r="K444" s="14">
        <f t="shared" si="62"/>
        <v>45152</v>
      </c>
      <c r="L444" s="15">
        <f t="shared" si="68"/>
        <v>45152</v>
      </c>
      <c r="M444" s="18" t="s">
        <v>39</v>
      </c>
    </row>
    <row r="445" spans="8:13" x14ac:dyDescent="0.25">
      <c r="H445" s="18" t="s">
        <v>61</v>
      </c>
      <c r="I445" s="3">
        <v>2024</v>
      </c>
      <c r="J445" s="13">
        <f t="shared" si="67"/>
        <v>45518</v>
      </c>
      <c r="K445" s="14">
        <f t="shared" si="62"/>
        <v>45518</v>
      </c>
      <c r="L445" s="15">
        <f t="shared" si="68"/>
        <v>45518</v>
      </c>
      <c r="M445" s="18" t="s">
        <v>39</v>
      </c>
    </row>
    <row r="446" spans="8:13" x14ac:dyDescent="0.25">
      <c r="H446" s="18" t="s">
        <v>61</v>
      </c>
      <c r="I446" s="3">
        <v>2025</v>
      </c>
      <c r="J446" s="13">
        <f t="shared" si="67"/>
        <v>45883</v>
      </c>
      <c r="K446" s="14">
        <f t="shared" si="62"/>
        <v>45883</v>
      </c>
      <c r="L446" s="15">
        <f t="shared" si="68"/>
        <v>45883</v>
      </c>
      <c r="M446" s="18" t="s">
        <v>39</v>
      </c>
    </row>
    <row r="447" spans="8:13" x14ac:dyDescent="0.25">
      <c r="H447" s="18" t="s">
        <v>61</v>
      </c>
      <c r="I447" s="3">
        <v>2026</v>
      </c>
      <c r="J447" s="13">
        <f t="shared" si="67"/>
        <v>46248</v>
      </c>
      <c r="K447" s="14">
        <f t="shared" si="62"/>
        <v>46248</v>
      </c>
      <c r="L447" s="15">
        <f t="shared" si="68"/>
        <v>46248</v>
      </c>
      <c r="M447" s="18" t="s">
        <v>39</v>
      </c>
    </row>
    <row r="448" spans="8:13" x14ac:dyDescent="0.25">
      <c r="H448" s="18" t="s">
        <v>61</v>
      </c>
      <c r="I448" s="3">
        <v>2027</v>
      </c>
      <c r="J448" s="13">
        <f t="shared" si="67"/>
        <v>46613</v>
      </c>
      <c r="K448" s="14">
        <f t="shared" si="62"/>
        <v>46613</v>
      </c>
      <c r="L448" s="15">
        <f t="shared" si="68"/>
        <v>46613</v>
      </c>
      <c r="M448" s="18" t="s">
        <v>39</v>
      </c>
    </row>
    <row r="449" spans="8:13" x14ac:dyDescent="0.25">
      <c r="H449" s="18" t="s">
        <v>61</v>
      </c>
      <c r="I449" s="3">
        <v>2028</v>
      </c>
      <c r="J449" s="13">
        <f t="shared" si="67"/>
        <v>46979</v>
      </c>
      <c r="K449" s="14">
        <f t="shared" si="62"/>
        <v>46979</v>
      </c>
      <c r="L449" s="15">
        <f t="shared" si="68"/>
        <v>46979</v>
      </c>
      <c r="M449" s="18" t="s">
        <v>39</v>
      </c>
    </row>
    <row r="450" spans="8:13" x14ac:dyDescent="0.25">
      <c r="H450" s="18" t="s">
        <v>61</v>
      </c>
      <c r="I450" s="3">
        <v>2029</v>
      </c>
      <c r="J450" s="13">
        <f t="shared" si="67"/>
        <v>47344</v>
      </c>
      <c r="K450" s="14">
        <f t="shared" si="62"/>
        <v>47344</v>
      </c>
      <c r="L450" s="15">
        <f t="shared" si="68"/>
        <v>47344</v>
      </c>
      <c r="M450" s="18" t="s">
        <v>39</v>
      </c>
    </row>
    <row r="451" spans="8:13" x14ac:dyDescent="0.25">
      <c r="H451" s="18" t="s">
        <v>61</v>
      </c>
      <c r="I451" s="3">
        <v>2030</v>
      </c>
      <c r="J451" s="13">
        <f t="shared" si="67"/>
        <v>47709</v>
      </c>
      <c r="K451" s="14">
        <f t="shared" si="62"/>
        <v>47709</v>
      </c>
      <c r="L451" s="15">
        <f t="shared" si="68"/>
        <v>47709</v>
      </c>
      <c r="M451" s="18" t="s">
        <v>39</v>
      </c>
    </row>
    <row r="452" spans="8:13" x14ac:dyDescent="0.25">
      <c r="H452" s="18" t="s">
        <v>62</v>
      </c>
      <c r="I452" s="3">
        <v>2013</v>
      </c>
      <c r="J452" s="13">
        <f>CONCATENATE("16/08/",$I452)*1</f>
        <v>41502</v>
      </c>
      <c r="K452" s="14">
        <f t="shared" si="62"/>
        <v>41502</v>
      </c>
      <c r="L452" s="15">
        <f t="shared" si="68"/>
        <v>41502</v>
      </c>
      <c r="M452" s="18" t="s">
        <v>39</v>
      </c>
    </row>
    <row r="453" spans="8:13" x14ac:dyDescent="0.25">
      <c r="H453" s="18" t="s">
        <v>62</v>
      </c>
      <c r="I453" s="3">
        <v>2014</v>
      </c>
      <c r="J453" s="13">
        <f t="shared" ref="J453:J469" si="69">CONCATENATE("16/08/",$I453)*1</f>
        <v>41867</v>
      </c>
      <c r="K453" s="14">
        <f t="shared" si="62"/>
        <v>41867</v>
      </c>
      <c r="L453" s="15">
        <f t="shared" ref="L453:L470" si="70">J453</f>
        <v>41867</v>
      </c>
      <c r="M453" s="18" t="s">
        <v>39</v>
      </c>
    </row>
    <row r="454" spans="8:13" x14ac:dyDescent="0.25">
      <c r="H454" s="18" t="s">
        <v>62</v>
      </c>
      <c r="I454" s="3">
        <v>2015</v>
      </c>
      <c r="J454" s="13">
        <f t="shared" si="69"/>
        <v>42232</v>
      </c>
      <c r="K454" s="14">
        <f t="shared" si="62"/>
        <v>42232</v>
      </c>
      <c r="L454" s="15">
        <f t="shared" si="70"/>
        <v>42232</v>
      </c>
      <c r="M454" s="18" t="s">
        <v>39</v>
      </c>
    </row>
    <row r="455" spans="8:13" x14ac:dyDescent="0.25">
      <c r="H455" s="18" t="s">
        <v>62</v>
      </c>
      <c r="I455" s="3">
        <v>2016</v>
      </c>
      <c r="J455" s="13">
        <f t="shared" si="69"/>
        <v>42598</v>
      </c>
      <c r="K455" s="14">
        <f t="shared" si="62"/>
        <v>42598</v>
      </c>
      <c r="L455" s="15">
        <f t="shared" si="70"/>
        <v>42598</v>
      </c>
      <c r="M455" s="18" t="s">
        <v>39</v>
      </c>
    </row>
    <row r="456" spans="8:13" x14ac:dyDescent="0.25">
      <c r="H456" s="18" t="s">
        <v>62</v>
      </c>
      <c r="I456" s="3">
        <v>2017</v>
      </c>
      <c r="J456" s="13">
        <f t="shared" si="69"/>
        <v>42963</v>
      </c>
      <c r="K456" s="14">
        <f t="shared" ref="K456:K519" si="71">J456</f>
        <v>42963</v>
      </c>
      <c r="L456" s="15">
        <f t="shared" si="70"/>
        <v>42963</v>
      </c>
      <c r="M456" s="18" t="s">
        <v>39</v>
      </c>
    </row>
    <row r="457" spans="8:13" x14ac:dyDescent="0.25">
      <c r="H457" s="18" t="s">
        <v>62</v>
      </c>
      <c r="I457" s="3">
        <v>2018</v>
      </c>
      <c r="J457" s="13">
        <f t="shared" si="69"/>
        <v>43328</v>
      </c>
      <c r="K457" s="14">
        <f t="shared" si="71"/>
        <v>43328</v>
      </c>
      <c r="L457" s="15">
        <f t="shared" si="70"/>
        <v>43328</v>
      </c>
      <c r="M457" s="18" t="s">
        <v>39</v>
      </c>
    </row>
    <row r="458" spans="8:13" x14ac:dyDescent="0.25">
      <c r="H458" s="18" t="s">
        <v>62</v>
      </c>
      <c r="I458" s="3">
        <v>2019</v>
      </c>
      <c r="J458" s="13">
        <f t="shared" si="69"/>
        <v>43693</v>
      </c>
      <c r="K458" s="14">
        <f t="shared" si="71"/>
        <v>43693</v>
      </c>
      <c r="L458" s="15">
        <f t="shared" si="70"/>
        <v>43693</v>
      </c>
      <c r="M458" s="18" t="s">
        <v>39</v>
      </c>
    </row>
    <row r="459" spans="8:13" x14ac:dyDescent="0.25">
      <c r="H459" s="18" t="s">
        <v>62</v>
      </c>
      <c r="I459" s="3">
        <v>2020</v>
      </c>
      <c r="J459" s="13">
        <f t="shared" si="69"/>
        <v>44059</v>
      </c>
      <c r="K459" s="14">
        <f t="shared" si="71"/>
        <v>44059</v>
      </c>
      <c r="L459" s="15">
        <f t="shared" si="70"/>
        <v>44059</v>
      </c>
      <c r="M459" s="18" t="s">
        <v>39</v>
      </c>
    </row>
    <row r="460" spans="8:13" x14ac:dyDescent="0.25">
      <c r="H460" s="18" t="s">
        <v>62</v>
      </c>
      <c r="I460" s="3">
        <v>2021</v>
      </c>
      <c r="J460" s="13">
        <f t="shared" si="69"/>
        <v>44424</v>
      </c>
      <c r="K460" s="14">
        <f t="shared" si="71"/>
        <v>44424</v>
      </c>
      <c r="L460" s="15">
        <f t="shared" si="70"/>
        <v>44424</v>
      </c>
      <c r="M460" s="18" t="s">
        <v>39</v>
      </c>
    </row>
    <row r="461" spans="8:13" x14ac:dyDescent="0.25">
      <c r="H461" s="18" t="s">
        <v>62</v>
      </c>
      <c r="I461" s="3">
        <v>2022</v>
      </c>
      <c r="J461" s="13">
        <f t="shared" si="69"/>
        <v>44789</v>
      </c>
      <c r="K461" s="14">
        <f t="shared" si="71"/>
        <v>44789</v>
      </c>
      <c r="L461" s="15">
        <f t="shared" si="70"/>
        <v>44789</v>
      </c>
      <c r="M461" s="18" t="s">
        <v>39</v>
      </c>
    </row>
    <row r="462" spans="8:13" x14ac:dyDescent="0.25">
      <c r="H462" s="18" t="s">
        <v>62</v>
      </c>
      <c r="I462" s="3">
        <v>2023</v>
      </c>
      <c r="J462" s="13">
        <f t="shared" si="69"/>
        <v>45154</v>
      </c>
      <c r="K462" s="14">
        <f t="shared" si="71"/>
        <v>45154</v>
      </c>
      <c r="L462" s="15">
        <f t="shared" si="70"/>
        <v>45154</v>
      </c>
      <c r="M462" s="18" t="s">
        <v>39</v>
      </c>
    </row>
    <row r="463" spans="8:13" x14ac:dyDescent="0.25">
      <c r="H463" s="18" t="s">
        <v>62</v>
      </c>
      <c r="I463" s="3">
        <v>2024</v>
      </c>
      <c r="J463" s="13">
        <f t="shared" si="69"/>
        <v>45520</v>
      </c>
      <c r="K463" s="14">
        <f t="shared" si="71"/>
        <v>45520</v>
      </c>
      <c r="L463" s="15">
        <f t="shared" si="70"/>
        <v>45520</v>
      </c>
      <c r="M463" s="18" t="s">
        <v>39</v>
      </c>
    </row>
    <row r="464" spans="8:13" x14ac:dyDescent="0.25">
      <c r="H464" s="18" t="s">
        <v>62</v>
      </c>
      <c r="I464" s="3">
        <v>2025</v>
      </c>
      <c r="J464" s="13">
        <f t="shared" si="69"/>
        <v>45885</v>
      </c>
      <c r="K464" s="14">
        <f t="shared" si="71"/>
        <v>45885</v>
      </c>
      <c r="L464" s="15">
        <f t="shared" si="70"/>
        <v>45885</v>
      </c>
      <c r="M464" s="18" t="s">
        <v>39</v>
      </c>
    </row>
    <row r="465" spans="8:13" x14ac:dyDescent="0.25">
      <c r="H465" s="18" t="s">
        <v>62</v>
      </c>
      <c r="I465" s="3">
        <v>2026</v>
      </c>
      <c r="J465" s="13">
        <f t="shared" si="69"/>
        <v>46250</v>
      </c>
      <c r="K465" s="14">
        <f t="shared" si="71"/>
        <v>46250</v>
      </c>
      <c r="L465" s="15">
        <f t="shared" si="70"/>
        <v>46250</v>
      </c>
      <c r="M465" s="18" t="s">
        <v>39</v>
      </c>
    </row>
    <row r="466" spans="8:13" x14ac:dyDescent="0.25">
      <c r="H466" s="18" t="s">
        <v>62</v>
      </c>
      <c r="I466" s="3">
        <v>2027</v>
      </c>
      <c r="J466" s="13">
        <f t="shared" si="69"/>
        <v>46615</v>
      </c>
      <c r="K466" s="14">
        <f t="shared" si="71"/>
        <v>46615</v>
      </c>
      <c r="L466" s="15">
        <f t="shared" si="70"/>
        <v>46615</v>
      </c>
      <c r="M466" s="18" t="s">
        <v>39</v>
      </c>
    </row>
    <row r="467" spans="8:13" x14ac:dyDescent="0.25">
      <c r="H467" s="18" t="s">
        <v>62</v>
      </c>
      <c r="I467" s="3">
        <v>2028</v>
      </c>
      <c r="J467" s="13">
        <f t="shared" si="69"/>
        <v>46981</v>
      </c>
      <c r="K467" s="14">
        <f t="shared" si="71"/>
        <v>46981</v>
      </c>
      <c r="L467" s="15">
        <f t="shared" si="70"/>
        <v>46981</v>
      </c>
      <c r="M467" s="18" t="s">
        <v>39</v>
      </c>
    </row>
    <row r="468" spans="8:13" x14ac:dyDescent="0.25">
      <c r="H468" s="18" t="s">
        <v>62</v>
      </c>
      <c r="I468" s="3">
        <v>2029</v>
      </c>
      <c r="J468" s="13">
        <f t="shared" si="69"/>
        <v>47346</v>
      </c>
      <c r="K468" s="14">
        <f t="shared" si="71"/>
        <v>47346</v>
      </c>
      <c r="L468" s="15">
        <f t="shared" si="70"/>
        <v>47346</v>
      </c>
      <c r="M468" s="18" t="s">
        <v>39</v>
      </c>
    </row>
    <row r="469" spans="8:13" x14ac:dyDescent="0.25">
      <c r="H469" s="18" t="s">
        <v>62</v>
      </c>
      <c r="I469" s="3">
        <v>2030</v>
      </c>
      <c r="J469" s="13">
        <f t="shared" si="69"/>
        <v>47711</v>
      </c>
      <c r="K469" s="14">
        <f t="shared" si="71"/>
        <v>47711</v>
      </c>
      <c r="L469" s="15">
        <f t="shared" si="70"/>
        <v>47711</v>
      </c>
      <c r="M469" s="18" t="s">
        <v>39</v>
      </c>
    </row>
    <row r="470" spans="8:13" x14ac:dyDescent="0.25">
      <c r="H470" s="18" t="s">
        <v>63</v>
      </c>
      <c r="I470" s="3">
        <v>2013</v>
      </c>
      <c r="J470" s="13">
        <f>CONCATENATE("17/08/",$I470)*1</f>
        <v>41503</v>
      </c>
      <c r="K470" s="14">
        <f t="shared" si="71"/>
        <v>41503</v>
      </c>
      <c r="L470" s="15">
        <f t="shared" si="70"/>
        <v>41503</v>
      </c>
      <c r="M470" s="18" t="s">
        <v>39</v>
      </c>
    </row>
    <row r="471" spans="8:13" x14ac:dyDescent="0.25">
      <c r="H471" s="18" t="s">
        <v>63</v>
      </c>
      <c r="I471" s="3">
        <v>2014</v>
      </c>
      <c r="J471" s="13">
        <f t="shared" ref="J471:J487" si="72">CONCATENATE("17/08/",$I471)*1</f>
        <v>41868</v>
      </c>
      <c r="K471" s="14">
        <f t="shared" si="71"/>
        <v>41868</v>
      </c>
      <c r="L471" s="15">
        <f t="shared" ref="L471:L488" si="73">J471</f>
        <v>41868</v>
      </c>
      <c r="M471" s="18" t="s">
        <v>39</v>
      </c>
    </row>
    <row r="472" spans="8:13" x14ac:dyDescent="0.25">
      <c r="H472" s="18" t="s">
        <v>63</v>
      </c>
      <c r="I472" s="3">
        <v>2015</v>
      </c>
      <c r="J472" s="13">
        <f t="shared" si="72"/>
        <v>42233</v>
      </c>
      <c r="K472" s="14">
        <f t="shared" si="71"/>
        <v>42233</v>
      </c>
      <c r="L472" s="15">
        <f t="shared" si="73"/>
        <v>42233</v>
      </c>
      <c r="M472" s="18" t="s">
        <v>39</v>
      </c>
    </row>
    <row r="473" spans="8:13" x14ac:dyDescent="0.25">
      <c r="H473" s="18" t="s">
        <v>63</v>
      </c>
      <c r="I473" s="3">
        <v>2016</v>
      </c>
      <c r="J473" s="13">
        <f t="shared" si="72"/>
        <v>42599</v>
      </c>
      <c r="K473" s="14">
        <f t="shared" si="71"/>
        <v>42599</v>
      </c>
      <c r="L473" s="15">
        <f t="shared" si="73"/>
        <v>42599</v>
      </c>
      <c r="M473" s="18" t="s">
        <v>39</v>
      </c>
    </row>
    <row r="474" spans="8:13" x14ac:dyDescent="0.25">
      <c r="H474" s="18" t="s">
        <v>63</v>
      </c>
      <c r="I474" s="3">
        <v>2017</v>
      </c>
      <c r="J474" s="13">
        <f t="shared" si="72"/>
        <v>42964</v>
      </c>
      <c r="K474" s="14">
        <f t="shared" si="71"/>
        <v>42964</v>
      </c>
      <c r="L474" s="15">
        <f t="shared" si="73"/>
        <v>42964</v>
      </c>
      <c r="M474" s="18" t="s">
        <v>39</v>
      </c>
    </row>
    <row r="475" spans="8:13" x14ac:dyDescent="0.25">
      <c r="H475" s="18" t="s">
        <v>63</v>
      </c>
      <c r="I475" s="3">
        <v>2018</v>
      </c>
      <c r="J475" s="13">
        <f t="shared" si="72"/>
        <v>43329</v>
      </c>
      <c r="K475" s="14">
        <f t="shared" si="71"/>
        <v>43329</v>
      </c>
      <c r="L475" s="15">
        <f t="shared" si="73"/>
        <v>43329</v>
      </c>
      <c r="M475" s="18" t="s">
        <v>39</v>
      </c>
    </row>
    <row r="476" spans="8:13" x14ac:dyDescent="0.25">
      <c r="H476" s="18" t="s">
        <v>63</v>
      </c>
      <c r="I476" s="3">
        <v>2019</v>
      </c>
      <c r="J476" s="13">
        <f t="shared" si="72"/>
        <v>43694</v>
      </c>
      <c r="K476" s="14">
        <f t="shared" si="71"/>
        <v>43694</v>
      </c>
      <c r="L476" s="15">
        <f t="shared" si="73"/>
        <v>43694</v>
      </c>
      <c r="M476" s="18" t="s">
        <v>39</v>
      </c>
    </row>
    <row r="477" spans="8:13" x14ac:dyDescent="0.25">
      <c r="H477" s="18" t="s">
        <v>63</v>
      </c>
      <c r="I477" s="3">
        <v>2020</v>
      </c>
      <c r="J477" s="13">
        <f t="shared" si="72"/>
        <v>44060</v>
      </c>
      <c r="K477" s="14">
        <f t="shared" si="71"/>
        <v>44060</v>
      </c>
      <c r="L477" s="15">
        <f t="shared" si="73"/>
        <v>44060</v>
      </c>
      <c r="M477" s="18" t="s">
        <v>39</v>
      </c>
    </row>
    <row r="478" spans="8:13" x14ac:dyDescent="0.25">
      <c r="H478" s="18" t="s">
        <v>63</v>
      </c>
      <c r="I478" s="3">
        <v>2021</v>
      </c>
      <c r="J478" s="13">
        <f t="shared" si="72"/>
        <v>44425</v>
      </c>
      <c r="K478" s="14">
        <f t="shared" si="71"/>
        <v>44425</v>
      </c>
      <c r="L478" s="15">
        <f t="shared" si="73"/>
        <v>44425</v>
      </c>
      <c r="M478" s="18" t="s">
        <v>39</v>
      </c>
    </row>
    <row r="479" spans="8:13" x14ac:dyDescent="0.25">
      <c r="H479" s="18" t="s">
        <v>63</v>
      </c>
      <c r="I479" s="3">
        <v>2022</v>
      </c>
      <c r="J479" s="13">
        <f t="shared" si="72"/>
        <v>44790</v>
      </c>
      <c r="K479" s="14">
        <f t="shared" si="71"/>
        <v>44790</v>
      </c>
      <c r="L479" s="15">
        <f t="shared" si="73"/>
        <v>44790</v>
      </c>
      <c r="M479" s="18" t="s">
        <v>39</v>
      </c>
    </row>
    <row r="480" spans="8:13" x14ac:dyDescent="0.25">
      <c r="H480" s="18" t="s">
        <v>63</v>
      </c>
      <c r="I480" s="3">
        <v>2023</v>
      </c>
      <c r="J480" s="13">
        <f t="shared" si="72"/>
        <v>45155</v>
      </c>
      <c r="K480" s="14">
        <f t="shared" si="71"/>
        <v>45155</v>
      </c>
      <c r="L480" s="15">
        <f t="shared" si="73"/>
        <v>45155</v>
      </c>
      <c r="M480" s="18" t="s">
        <v>39</v>
      </c>
    </row>
    <row r="481" spans="8:13" x14ac:dyDescent="0.25">
      <c r="H481" s="18" t="s">
        <v>63</v>
      </c>
      <c r="I481" s="3">
        <v>2024</v>
      </c>
      <c r="J481" s="13">
        <f t="shared" si="72"/>
        <v>45521</v>
      </c>
      <c r="K481" s="14">
        <f t="shared" si="71"/>
        <v>45521</v>
      </c>
      <c r="L481" s="15">
        <f t="shared" si="73"/>
        <v>45521</v>
      </c>
      <c r="M481" s="18" t="s">
        <v>39</v>
      </c>
    </row>
    <row r="482" spans="8:13" x14ac:dyDescent="0.25">
      <c r="H482" s="18" t="s">
        <v>63</v>
      </c>
      <c r="I482" s="3">
        <v>2025</v>
      </c>
      <c r="J482" s="13">
        <f t="shared" si="72"/>
        <v>45886</v>
      </c>
      <c r="K482" s="14">
        <f t="shared" si="71"/>
        <v>45886</v>
      </c>
      <c r="L482" s="15">
        <f t="shared" si="73"/>
        <v>45886</v>
      </c>
      <c r="M482" s="18" t="s">
        <v>39</v>
      </c>
    </row>
    <row r="483" spans="8:13" x14ac:dyDescent="0.25">
      <c r="H483" s="18" t="s">
        <v>63</v>
      </c>
      <c r="I483" s="3">
        <v>2026</v>
      </c>
      <c r="J483" s="13">
        <f t="shared" si="72"/>
        <v>46251</v>
      </c>
      <c r="K483" s="14">
        <f t="shared" si="71"/>
        <v>46251</v>
      </c>
      <c r="L483" s="15">
        <f t="shared" si="73"/>
        <v>46251</v>
      </c>
      <c r="M483" s="18" t="s">
        <v>39</v>
      </c>
    </row>
    <row r="484" spans="8:13" x14ac:dyDescent="0.25">
      <c r="H484" s="18" t="s">
        <v>63</v>
      </c>
      <c r="I484" s="3">
        <v>2027</v>
      </c>
      <c r="J484" s="13">
        <f t="shared" si="72"/>
        <v>46616</v>
      </c>
      <c r="K484" s="14">
        <f t="shared" si="71"/>
        <v>46616</v>
      </c>
      <c r="L484" s="15">
        <f t="shared" si="73"/>
        <v>46616</v>
      </c>
      <c r="M484" s="18" t="s">
        <v>39</v>
      </c>
    </row>
    <row r="485" spans="8:13" x14ac:dyDescent="0.25">
      <c r="H485" s="18" t="s">
        <v>63</v>
      </c>
      <c r="I485" s="3">
        <v>2028</v>
      </c>
      <c r="J485" s="13">
        <f t="shared" si="72"/>
        <v>46982</v>
      </c>
      <c r="K485" s="14">
        <f t="shared" si="71"/>
        <v>46982</v>
      </c>
      <c r="L485" s="15">
        <f t="shared" si="73"/>
        <v>46982</v>
      </c>
      <c r="M485" s="18" t="s">
        <v>39</v>
      </c>
    </row>
    <row r="486" spans="8:13" x14ac:dyDescent="0.25">
      <c r="H486" s="18" t="s">
        <v>63</v>
      </c>
      <c r="I486" s="3">
        <v>2029</v>
      </c>
      <c r="J486" s="13">
        <f t="shared" si="72"/>
        <v>47347</v>
      </c>
      <c r="K486" s="14">
        <f t="shared" si="71"/>
        <v>47347</v>
      </c>
      <c r="L486" s="15">
        <f t="shared" si="73"/>
        <v>47347</v>
      </c>
      <c r="M486" s="18" t="s">
        <v>39</v>
      </c>
    </row>
    <row r="487" spans="8:13" x14ac:dyDescent="0.25">
      <c r="H487" s="18" t="s">
        <v>63</v>
      </c>
      <c r="I487" s="3">
        <v>2030</v>
      </c>
      <c r="J487" s="13">
        <f t="shared" si="72"/>
        <v>47712</v>
      </c>
      <c r="K487" s="14">
        <f t="shared" si="71"/>
        <v>47712</v>
      </c>
      <c r="L487" s="15">
        <f t="shared" si="73"/>
        <v>47712</v>
      </c>
      <c r="M487" s="18" t="s">
        <v>39</v>
      </c>
    </row>
    <row r="488" spans="8:13" x14ac:dyDescent="0.25">
      <c r="H488" s="18" t="s">
        <v>64</v>
      </c>
      <c r="I488" s="3">
        <v>2013</v>
      </c>
      <c r="J488" s="13">
        <f>CONCATENATE("18/08/",$I488)*1</f>
        <v>41504</v>
      </c>
      <c r="K488" s="14">
        <f t="shared" si="71"/>
        <v>41504</v>
      </c>
      <c r="L488" s="15">
        <f t="shared" si="73"/>
        <v>41504</v>
      </c>
      <c r="M488" s="18" t="s">
        <v>39</v>
      </c>
    </row>
    <row r="489" spans="8:13" x14ac:dyDescent="0.25">
      <c r="H489" s="18" t="s">
        <v>64</v>
      </c>
      <c r="I489" s="3">
        <v>2014</v>
      </c>
      <c r="J489" s="13">
        <f t="shared" ref="J489:J505" si="74">CONCATENATE("18/08/",$I489)*1</f>
        <v>41869</v>
      </c>
      <c r="K489" s="14">
        <f t="shared" si="71"/>
        <v>41869</v>
      </c>
      <c r="L489" s="15">
        <f t="shared" ref="L489:L506" si="75">J489</f>
        <v>41869</v>
      </c>
      <c r="M489" s="18" t="s">
        <v>39</v>
      </c>
    </row>
    <row r="490" spans="8:13" x14ac:dyDescent="0.25">
      <c r="H490" s="18" t="s">
        <v>64</v>
      </c>
      <c r="I490" s="3">
        <v>2015</v>
      </c>
      <c r="J490" s="13">
        <f t="shared" si="74"/>
        <v>42234</v>
      </c>
      <c r="K490" s="14">
        <f t="shared" si="71"/>
        <v>42234</v>
      </c>
      <c r="L490" s="15">
        <f t="shared" si="75"/>
        <v>42234</v>
      </c>
      <c r="M490" s="18" t="s">
        <v>39</v>
      </c>
    </row>
    <row r="491" spans="8:13" x14ac:dyDescent="0.25">
      <c r="H491" s="18" t="s">
        <v>64</v>
      </c>
      <c r="I491" s="3">
        <v>2016</v>
      </c>
      <c r="J491" s="13">
        <f t="shared" si="74"/>
        <v>42600</v>
      </c>
      <c r="K491" s="14">
        <f t="shared" si="71"/>
        <v>42600</v>
      </c>
      <c r="L491" s="15">
        <f t="shared" si="75"/>
        <v>42600</v>
      </c>
      <c r="M491" s="18" t="s">
        <v>39</v>
      </c>
    </row>
    <row r="492" spans="8:13" x14ac:dyDescent="0.25">
      <c r="H492" s="18" t="s">
        <v>64</v>
      </c>
      <c r="I492" s="3">
        <v>2017</v>
      </c>
      <c r="J492" s="13">
        <f t="shared" si="74"/>
        <v>42965</v>
      </c>
      <c r="K492" s="14">
        <f t="shared" si="71"/>
        <v>42965</v>
      </c>
      <c r="L492" s="15">
        <f t="shared" si="75"/>
        <v>42965</v>
      </c>
      <c r="M492" s="18" t="s">
        <v>39</v>
      </c>
    </row>
    <row r="493" spans="8:13" x14ac:dyDescent="0.25">
      <c r="H493" s="18" t="s">
        <v>64</v>
      </c>
      <c r="I493" s="3">
        <v>2018</v>
      </c>
      <c r="J493" s="13">
        <f t="shared" si="74"/>
        <v>43330</v>
      </c>
      <c r="K493" s="14">
        <f t="shared" si="71"/>
        <v>43330</v>
      </c>
      <c r="L493" s="15">
        <f t="shared" si="75"/>
        <v>43330</v>
      </c>
      <c r="M493" s="18" t="s">
        <v>39</v>
      </c>
    </row>
    <row r="494" spans="8:13" x14ac:dyDescent="0.25">
      <c r="H494" s="18" t="s">
        <v>64</v>
      </c>
      <c r="I494" s="3">
        <v>2019</v>
      </c>
      <c r="J494" s="13">
        <f t="shared" si="74"/>
        <v>43695</v>
      </c>
      <c r="K494" s="14">
        <f t="shared" si="71"/>
        <v>43695</v>
      </c>
      <c r="L494" s="15">
        <f t="shared" si="75"/>
        <v>43695</v>
      </c>
      <c r="M494" s="18" t="s">
        <v>39</v>
      </c>
    </row>
    <row r="495" spans="8:13" x14ac:dyDescent="0.25">
      <c r="H495" s="18" t="s">
        <v>64</v>
      </c>
      <c r="I495" s="3">
        <v>2020</v>
      </c>
      <c r="J495" s="13">
        <f t="shared" si="74"/>
        <v>44061</v>
      </c>
      <c r="K495" s="14">
        <f t="shared" si="71"/>
        <v>44061</v>
      </c>
      <c r="L495" s="15">
        <f t="shared" si="75"/>
        <v>44061</v>
      </c>
      <c r="M495" s="18" t="s">
        <v>39</v>
      </c>
    </row>
    <row r="496" spans="8:13" x14ac:dyDescent="0.25">
      <c r="H496" s="18" t="s">
        <v>64</v>
      </c>
      <c r="I496" s="3">
        <v>2021</v>
      </c>
      <c r="J496" s="13">
        <f t="shared" si="74"/>
        <v>44426</v>
      </c>
      <c r="K496" s="14">
        <f t="shared" si="71"/>
        <v>44426</v>
      </c>
      <c r="L496" s="15">
        <f t="shared" si="75"/>
        <v>44426</v>
      </c>
      <c r="M496" s="18" t="s">
        <v>39</v>
      </c>
    </row>
    <row r="497" spans="8:13" x14ac:dyDescent="0.25">
      <c r="H497" s="18" t="s">
        <v>64</v>
      </c>
      <c r="I497" s="3">
        <v>2022</v>
      </c>
      <c r="J497" s="13">
        <f t="shared" si="74"/>
        <v>44791</v>
      </c>
      <c r="K497" s="14">
        <f t="shared" si="71"/>
        <v>44791</v>
      </c>
      <c r="L497" s="15">
        <f t="shared" si="75"/>
        <v>44791</v>
      </c>
      <c r="M497" s="18" t="s">
        <v>39</v>
      </c>
    </row>
    <row r="498" spans="8:13" x14ac:dyDescent="0.25">
      <c r="H498" s="18" t="s">
        <v>64</v>
      </c>
      <c r="I498" s="3">
        <v>2023</v>
      </c>
      <c r="J498" s="13">
        <f t="shared" si="74"/>
        <v>45156</v>
      </c>
      <c r="K498" s="14">
        <f t="shared" si="71"/>
        <v>45156</v>
      </c>
      <c r="L498" s="15">
        <f t="shared" si="75"/>
        <v>45156</v>
      </c>
      <c r="M498" s="18" t="s">
        <v>39</v>
      </c>
    </row>
    <row r="499" spans="8:13" x14ac:dyDescent="0.25">
      <c r="H499" s="18" t="s">
        <v>64</v>
      </c>
      <c r="I499" s="3">
        <v>2024</v>
      </c>
      <c r="J499" s="13">
        <f t="shared" si="74"/>
        <v>45522</v>
      </c>
      <c r="K499" s="14">
        <f t="shared" si="71"/>
        <v>45522</v>
      </c>
      <c r="L499" s="15">
        <f t="shared" si="75"/>
        <v>45522</v>
      </c>
      <c r="M499" s="18" t="s">
        <v>39</v>
      </c>
    </row>
    <row r="500" spans="8:13" x14ac:dyDescent="0.25">
      <c r="H500" s="18" t="s">
        <v>64</v>
      </c>
      <c r="I500" s="3">
        <v>2025</v>
      </c>
      <c r="J500" s="13">
        <f t="shared" si="74"/>
        <v>45887</v>
      </c>
      <c r="K500" s="14">
        <f t="shared" si="71"/>
        <v>45887</v>
      </c>
      <c r="L500" s="15">
        <f t="shared" si="75"/>
        <v>45887</v>
      </c>
      <c r="M500" s="18" t="s">
        <v>39</v>
      </c>
    </row>
    <row r="501" spans="8:13" x14ac:dyDescent="0.25">
      <c r="H501" s="18" t="s">
        <v>64</v>
      </c>
      <c r="I501" s="3">
        <v>2026</v>
      </c>
      <c r="J501" s="13">
        <f t="shared" si="74"/>
        <v>46252</v>
      </c>
      <c r="K501" s="14">
        <f t="shared" si="71"/>
        <v>46252</v>
      </c>
      <c r="L501" s="15">
        <f t="shared" si="75"/>
        <v>46252</v>
      </c>
      <c r="M501" s="18" t="s">
        <v>39</v>
      </c>
    </row>
    <row r="502" spans="8:13" x14ac:dyDescent="0.25">
      <c r="H502" s="18" t="s">
        <v>64</v>
      </c>
      <c r="I502" s="3">
        <v>2027</v>
      </c>
      <c r="J502" s="13">
        <f t="shared" si="74"/>
        <v>46617</v>
      </c>
      <c r="K502" s="14">
        <f t="shared" si="71"/>
        <v>46617</v>
      </c>
      <c r="L502" s="15">
        <f t="shared" si="75"/>
        <v>46617</v>
      </c>
      <c r="M502" s="18" t="s">
        <v>39</v>
      </c>
    </row>
    <row r="503" spans="8:13" x14ac:dyDescent="0.25">
      <c r="H503" s="18" t="s">
        <v>64</v>
      </c>
      <c r="I503" s="3">
        <v>2028</v>
      </c>
      <c r="J503" s="13">
        <f t="shared" si="74"/>
        <v>46983</v>
      </c>
      <c r="K503" s="14">
        <f t="shared" si="71"/>
        <v>46983</v>
      </c>
      <c r="L503" s="15">
        <f t="shared" si="75"/>
        <v>46983</v>
      </c>
      <c r="M503" s="18" t="s">
        <v>39</v>
      </c>
    </row>
    <row r="504" spans="8:13" x14ac:dyDescent="0.25">
      <c r="H504" s="18" t="s">
        <v>64</v>
      </c>
      <c r="I504" s="3">
        <v>2029</v>
      </c>
      <c r="J504" s="13">
        <f t="shared" si="74"/>
        <v>47348</v>
      </c>
      <c r="K504" s="14">
        <f t="shared" si="71"/>
        <v>47348</v>
      </c>
      <c r="L504" s="15">
        <f t="shared" si="75"/>
        <v>47348</v>
      </c>
      <c r="M504" s="18" t="s">
        <v>39</v>
      </c>
    </row>
    <row r="505" spans="8:13" x14ac:dyDescent="0.25">
      <c r="H505" s="18" t="s">
        <v>64</v>
      </c>
      <c r="I505" s="3">
        <v>2030</v>
      </c>
      <c r="J505" s="13">
        <f t="shared" si="74"/>
        <v>47713</v>
      </c>
      <c r="K505" s="14">
        <f t="shared" si="71"/>
        <v>47713</v>
      </c>
      <c r="L505" s="15">
        <f t="shared" si="75"/>
        <v>47713</v>
      </c>
      <c r="M505" s="18" t="s">
        <v>39</v>
      </c>
    </row>
    <row r="506" spans="8:13" x14ac:dyDescent="0.25">
      <c r="H506" s="18" t="s">
        <v>65</v>
      </c>
      <c r="I506" s="3">
        <v>2013</v>
      </c>
      <c r="J506" s="13">
        <f>CONCATENATE("19/08/",$I506)*1</f>
        <v>41505</v>
      </c>
      <c r="K506" s="14">
        <f t="shared" si="71"/>
        <v>41505</v>
      </c>
      <c r="L506" s="15">
        <f t="shared" si="75"/>
        <v>41505</v>
      </c>
      <c r="M506" s="18" t="s">
        <v>39</v>
      </c>
    </row>
    <row r="507" spans="8:13" x14ac:dyDescent="0.25">
      <c r="H507" s="18" t="s">
        <v>65</v>
      </c>
      <c r="I507" s="3">
        <v>2014</v>
      </c>
      <c r="J507" s="13">
        <f t="shared" ref="J507:J523" si="76">CONCATENATE("19/08/",$I507)*1</f>
        <v>41870</v>
      </c>
      <c r="K507" s="14">
        <f t="shared" si="71"/>
        <v>41870</v>
      </c>
      <c r="L507" s="15">
        <f t="shared" ref="L507:L523" si="77">J507</f>
        <v>41870</v>
      </c>
      <c r="M507" s="18" t="s">
        <v>39</v>
      </c>
    </row>
    <row r="508" spans="8:13" x14ac:dyDescent="0.25">
      <c r="H508" s="18" t="s">
        <v>65</v>
      </c>
      <c r="I508" s="3">
        <v>2015</v>
      </c>
      <c r="J508" s="13">
        <f t="shared" si="76"/>
        <v>42235</v>
      </c>
      <c r="K508" s="14">
        <f t="shared" si="71"/>
        <v>42235</v>
      </c>
      <c r="L508" s="15">
        <f t="shared" si="77"/>
        <v>42235</v>
      </c>
      <c r="M508" s="18" t="s">
        <v>39</v>
      </c>
    </row>
    <row r="509" spans="8:13" x14ac:dyDescent="0.25">
      <c r="H509" s="18" t="s">
        <v>65</v>
      </c>
      <c r="I509" s="3">
        <v>2016</v>
      </c>
      <c r="J509" s="13">
        <f t="shared" si="76"/>
        <v>42601</v>
      </c>
      <c r="K509" s="14">
        <f t="shared" si="71"/>
        <v>42601</v>
      </c>
      <c r="L509" s="15">
        <f t="shared" si="77"/>
        <v>42601</v>
      </c>
      <c r="M509" s="18" t="s">
        <v>39</v>
      </c>
    </row>
    <row r="510" spans="8:13" x14ac:dyDescent="0.25">
      <c r="H510" s="18" t="s">
        <v>65</v>
      </c>
      <c r="I510" s="3">
        <v>2017</v>
      </c>
      <c r="J510" s="13">
        <f t="shared" si="76"/>
        <v>42966</v>
      </c>
      <c r="K510" s="14">
        <f t="shared" si="71"/>
        <v>42966</v>
      </c>
      <c r="L510" s="15">
        <f t="shared" si="77"/>
        <v>42966</v>
      </c>
      <c r="M510" s="18" t="s">
        <v>39</v>
      </c>
    </row>
    <row r="511" spans="8:13" x14ac:dyDescent="0.25">
      <c r="H511" s="18" t="s">
        <v>65</v>
      </c>
      <c r="I511" s="3">
        <v>2018</v>
      </c>
      <c r="J511" s="13">
        <f t="shared" si="76"/>
        <v>43331</v>
      </c>
      <c r="K511" s="14">
        <f t="shared" si="71"/>
        <v>43331</v>
      </c>
      <c r="L511" s="15">
        <f t="shared" si="77"/>
        <v>43331</v>
      </c>
      <c r="M511" s="18" t="s">
        <v>39</v>
      </c>
    </row>
    <row r="512" spans="8:13" x14ac:dyDescent="0.25">
      <c r="H512" s="18" t="s">
        <v>65</v>
      </c>
      <c r="I512" s="3">
        <v>2019</v>
      </c>
      <c r="J512" s="13">
        <f t="shared" si="76"/>
        <v>43696</v>
      </c>
      <c r="K512" s="14">
        <f t="shared" si="71"/>
        <v>43696</v>
      </c>
      <c r="L512" s="15">
        <f t="shared" si="77"/>
        <v>43696</v>
      </c>
      <c r="M512" s="18" t="s">
        <v>39</v>
      </c>
    </row>
    <row r="513" spans="8:13" x14ac:dyDescent="0.25">
      <c r="H513" s="18" t="s">
        <v>65</v>
      </c>
      <c r="I513" s="3">
        <v>2020</v>
      </c>
      <c r="J513" s="13">
        <f t="shared" si="76"/>
        <v>44062</v>
      </c>
      <c r="K513" s="14">
        <f t="shared" si="71"/>
        <v>44062</v>
      </c>
      <c r="L513" s="15">
        <f t="shared" si="77"/>
        <v>44062</v>
      </c>
      <c r="M513" s="18" t="s">
        <v>39</v>
      </c>
    </row>
    <row r="514" spans="8:13" x14ac:dyDescent="0.25">
      <c r="H514" s="18" t="s">
        <v>65</v>
      </c>
      <c r="I514" s="3">
        <v>2021</v>
      </c>
      <c r="J514" s="13">
        <f t="shared" si="76"/>
        <v>44427</v>
      </c>
      <c r="K514" s="14">
        <f t="shared" si="71"/>
        <v>44427</v>
      </c>
      <c r="L514" s="15">
        <f t="shared" si="77"/>
        <v>44427</v>
      </c>
      <c r="M514" s="18" t="s">
        <v>39</v>
      </c>
    </row>
    <row r="515" spans="8:13" x14ac:dyDescent="0.25">
      <c r="H515" s="18" t="s">
        <v>65</v>
      </c>
      <c r="I515" s="3">
        <v>2022</v>
      </c>
      <c r="J515" s="13">
        <f t="shared" si="76"/>
        <v>44792</v>
      </c>
      <c r="K515" s="14">
        <f t="shared" si="71"/>
        <v>44792</v>
      </c>
      <c r="L515" s="15">
        <f t="shared" si="77"/>
        <v>44792</v>
      </c>
      <c r="M515" s="18" t="s">
        <v>39</v>
      </c>
    </row>
    <row r="516" spans="8:13" x14ac:dyDescent="0.25">
      <c r="H516" s="18" t="s">
        <v>65</v>
      </c>
      <c r="I516" s="3">
        <v>2023</v>
      </c>
      <c r="J516" s="13">
        <f t="shared" si="76"/>
        <v>45157</v>
      </c>
      <c r="K516" s="14">
        <f t="shared" si="71"/>
        <v>45157</v>
      </c>
      <c r="L516" s="15">
        <f t="shared" si="77"/>
        <v>45157</v>
      </c>
      <c r="M516" s="18" t="s">
        <v>39</v>
      </c>
    </row>
    <row r="517" spans="8:13" x14ac:dyDescent="0.25">
      <c r="H517" s="18" t="s">
        <v>65</v>
      </c>
      <c r="I517" s="3">
        <v>2024</v>
      </c>
      <c r="J517" s="13">
        <f t="shared" si="76"/>
        <v>45523</v>
      </c>
      <c r="K517" s="14">
        <f t="shared" si="71"/>
        <v>45523</v>
      </c>
      <c r="L517" s="15">
        <f t="shared" si="77"/>
        <v>45523</v>
      </c>
      <c r="M517" s="18" t="s">
        <v>39</v>
      </c>
    </row>
    <row r="518" spans="8:13" x14ac:dyDescent="0.25">
      <c r="H518" s="18" t="s">
        <v>65</v>
      </c>
      <c r="I518" s="3">
        <v>2025</v>
      </c>
      <c r="J518" s="13">
        <f t="shared" si="76"/>
        <v>45888</v>
      </c>
      <c r="K518" s="14">
        <f t="shared" si="71"/>
        <v>45888</v>
      </c>
      <c r="L518" s="15">
        <f t="shared" si="77"/>
        <v>45888</v>
      </c>
      <c r="M518" s="18" t="s">
        <v>39</v>
      </c>
    </row>
    <row r="519" spans="8:13" x14ac:dyDescent="0.25">
      <c r="H519" s="18" t="s">
        <v>65</v>
      </c>
      <c r="I519" s="3">
        <v>2026</v>
      </c>
      <c r="J519" s="13">
        <f t="shared" si="76"/>
        <v>46253</v>
      </c>
      <c r="K519" s="14">
        <f t="shared" si="71"/>
        <v>46253</v>
      </c>
      <c r="L519" s="15">
        <f t="shared" si="77"/>
        <v>46253</v>
      </c>
      <c r="M519" s="18" t="s">
        <v>39</v>
      </c>
    </row>
    <row r="520" spans="8:13" x14ac:dyDescent="0.25">
      <c r="H520" s="18" t="s">
        <v>65</v>
      </c>
      <c r="I520" s="3">
        <v>2027</v>
      </c>
      <c r="J520" s="13">
        <f t="shared" si="76"/>
        <v>46618</v>
      </c>
      <c r="K520" s="14">
        <f t="shared" ref="K520:K523" si="78">J520</f>
        <v>46618</v>
      </c>
      <c r="L520" s="15">
        <f t="shared" si="77"/>
        <v>46618</v>
      </c>
      <c r="M520" s="18" t="s">
        <v>39</v>
      </c>
    </row>
    <row r="521" spans="8:13" x14ac:dyDescent="0.25">
      <c r="H521" s="18" t="s">
        <v>65</v>
      </c>
      <c r="I521" s="3">
        <v>2028</v>
      </c>
      <c r="J521" s="13">
        <f t="shared" si="76"/>
        <v>46984</v>
      </c>
      <c r="K521" s="14">
        <f t="shared" si="78"/>
        <v>46984</v>
      </c>
      <c r="L521" s="15">
        <f t="shared" si="77"/>
        <v>46984</v>
      </c>
      <c r="M521" s="18" t="s">
        <v>39</v>
      </c>
    </row>
    <row r="522" spans="8:13" x14ac:dyDescent="0.25">
      <c r="H522" s="18" t="s">
        <v>65</v>
      </c>
      <c r="I522" s="3">
        <v>2029</v>
      </c>
      <c r="J522" s="13">
        <f t="shared" si="76"/>
        <v>47349</v>
      </c>
      <c r="K522" s="14">
        <f t="shared" si="78"/>
        <v>47349</v>
      </c>
      <c r="L522" s="15">
        <f t="shared" si="77"/>
        <v>47349</v>
      </c>
      <c r="M522" s="18" t="s">
        <v>39</v>
      </c>
    </row>
    <row r="523" spans="8:13" x14ac:dyDescent="0.25">
      <c r="H523" s="18" t="s">
        <v>65</v>
      </c>
      <c r="I523" s="3">
        <v>2030</v>
      </c>
      <c r="J523" s="13">
        <f t="shared" si="76"/>
        <v>47714</v>
      </c>
      <c r="K523" s="14">
        <f t="shared" si="78"/>
        <v>47714</v>
      </c>
      <c r="L523" s="15">
        <f t="shared" si="77"/>
        <v>47714</v>
      </c>
      <c r="M523" s="18" t="s">
        <v>39</v>
      </c>
    </row>
  </sheetData>
  <sheetProtection password="85FD" sheet="1" objects="1" scenarios="1"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1 - ISTRUZIONI e AVVERTENZE</vt:lpstr>
      <vt:lpstr>2 - Calcolo debito residuo</vt:lpstr>
      <vt:lpstr>3 - Rateazione</vt:lpstr>
      <vt:lpstr>FESTE</vt:lpstr>
      <vt:lpstr>'2 - Calcolo debito residuo'!Area_stampa</vt:lpstr>
      <vt:lpstr>'3 - Rateazione'!Area_stampa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2023-01-14T21:10:48Z</dcterms:created>
  <dcterms:modified xsi:type="dcterms:W3CDTF">2023-02-08T11:40:59Z</dcterms:modified>
</cp:coreProperties>
</file>